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Main" sheetId="1" r:id="rId1"/>
    <sheet name="Cost" sheetId="2" r:id="rId2"/>
    <sheet name="ENR cost indices" sheetId="3" r:id="rId3"/>
    <sheet name="cost index" sheetId="4" r:id="rId4"/>
    <sheet name="RS Means Cost indices" sheetId="5" r:id="rId5"/>
    <sheet name="pipe data" sheetId="6" r:id="rId6"/>
    <sheet name="trench data" sheetId="7" r:id="rId7"/>
    <sheet name="backfill &amp; bedding" sheetId="8" r:id="rId8"/>
    <sheet name="inlet" sheetId="9" r:id="rId9"/>
    <sheet name="manhole" sheetId="10" r:id="rId10"/>
    <sheet name="grates" sheetId="11" r:id="rId11"/>
    <sheet name="curb &amp; gutter" sheetId="12" r:id="rId12"/>
  </sheets>
  <definedNames/>
  <calcPr fullCalcOnLoad="1"/>
</workbook>
</file>

<file path=xl/sharedStrings.xml><?xml version="1.0" encoding="utf-8"?>
<sst xmlns="http://schemas.openxmlformats.org/spreadsheetml/2006/main" count="1051" uniqueCount="523">
  <si>
    <t xml:space="preserve">Pipe Material </t>
  </si>
  <si>
    <t>Pipe Diameter (in.)</t>
  </si>
  <si>
    <t>Manhole Cost, $</t>
  </si>
  <si>
    <t>Pipe material</t>
  </si>
  <si>
    <t>Cost of Bedding, $</t>
  </si>
  <si>
    <t>Total Cost</t>
  </si>
  <si>
    <t>Internal riser diameter (ft)</t>
  </si>
  <si>
    <t>Segment I</t>
  </si>
  <si>
    <t>Segment II</t>
  </si>
  <si>
    <t>Design Parameters</t>
  </si>
  <si>
    <t>Segment III</t>
  </si>
  <si>
    <t>pipe diameters</t>
  </si>
  <si>
    <t>Corrugated Metal Pipe</t>
  </si>
  <si>
    <t>Reinforced Concrete Pipe</t>
  </si>
  <si>
    <t>Year</t>
  </si>
  <si>
    <t>Atlanta, GA</t>
  </si>
  <si>
    <t>Baltimore, MD</t>
  </si>
  <si>
    <t>Birmingham, AL</t>
  </si>
  <si>
    <t>Boston, MA</t>
  </si>
  <si>
    <t>Chicago, IL</t>
  </si>
  <si>
    <t>Cincinnati, OH</t>
  </si>
  <si>
    <t>Cleveland, OH</t>
  </si>
  <si>
    <t>Dallas, TX</t>
  </si>
  <si>
    <t>Denver, CO</t>
  </si>
  <si>
    <t>Detroit, MI</t>
  </si>
  <si>
    <t>Kansas City, MO</t>
  </si>
  <si>
    <t>Los Angeles, CA</t>
  </si>
  <si>
    <t>Minneapolis, MN</t>
  </si>
  <si>
    <t>New Orleans, LA</t>
  </si>
  <si>
    <t>New York, NY</t>
  </si>
  <si>
    <t>Philadelphia, PA</t>
  </si>
  <si>
    <t>Pittsburgh, PA</t>
  </si>
  <si>
    <t>San Francisco, CA</t>
  </si>
  <si>
    <t>Seattle, WA</t>
  </si>
  <si>
    <t>St.Louis, MO</t>
  </si>
  <si>
    <t>Construction Cost Index</t>
  </si>
  <si>
    <t>3106.45r</t>
  </si>
  <si>
    <t>NA</t>
  </si>
  <si>
    <t>NA = not available</t>
  </si>
  <si>
    <t>building cost index</t>
  </si>
  <si>
    <t>20 city average</t>
  </si>
  <si>
    <t>const cost index</t>
  </si>
  <si>
    <t>materials price index</t>
  </si>
  <si>
    <t>20 city index</t>
  </si>
  <si>
    <t>common labor index</t>
  </si>
  <si>
    <t>City</t>
  </si>
  <si>
    <t>Construction Cost index
20 city average</t>
  </si>
  <si>
    <t>Material Price Index
20 city index</t>
  </si>
  <si>
    <t>Common Labor Index
20 city average</t>
  </si>
  <si>
    <t>Building Cost Index
20 city average</t>
  </si>
  <si>
    <t>Capital Cost, $</t>
  </si>
  <si>
    <t>Present Value Multiplier</t>
  </si>
  <si>
    <t>Annual Maintenance Cost, $</t>
  </si>
  <si>
    <t>Present value of all costs, $</t>
  </si>
  <si>
    <t>Annual value of present amount</t>
  </si>
  <si>
    <t>Land Cost (if applicable), $</t>
  </si>
  <si>
    <t>Baseline National Cost Index</t>
  </si>
  <si>
    <t>Current City cost Index</t>
  </si>
  <si>
    <t>average 20 city
const cost index</t>
  </si>
  <si>
    <t>Trench bottom width (in.)</t>
  </si>
  <si>
    <t>Min. bedding thickness (in.)=</t>
  </si>
  <si>
    <t>Min depth of backfill from crown of pipe (in.)=</t>
  </si>
  <si>
    <t>Segment IV</t>
  </si>
  <si>
    <t>Segment V</t>
  </si>
  <si>
    <t>Segment VI</t>
  </si>
  <si>
    <t>Segment VII</t>
  </si>
  <si>
    <t>Segment VIII</t>
  </si>
  <si>
    <t>Segment IX</t>
  </si>
  <si>
    <t>Segment X</t>
  </si>
  <si>
    <t>Segment XI</t>
  </si>
  <si>
    <t>Segment XII</t>
  </si>
  <si>
    <t>Segment XIII</t>
  </si>
  <si>
    <t>Segment XIV</t>
  </si>
  <si>
    <t>Segment XV</t>
  </si>
  <si>
    <t>Segment XVI</t>
  </si>
  <si>
    <t>Segment XVII</t>
  </si>
  <si>
    <t>Segment XVIII</t>
  </si>
  <si>
    <t>Segment XIX</t>
  </si>
  <si>
    <t>Segment XX</t>
  </si>
  <si>
    <t>Allowable pipe diameters (in.)</t>
  </si>
  <si>
    <t>Excavating trench, common earth (no sheeting or dewatering considered)</t>
  </si>
  <si>
    <t>depth (ft.)</t>
  </si>
  <si>
    <t>backhoe size (C.Y)</t>
  </si>
  <si>
    <t>1 - 4</t>
  </si>
  <si>
    <t>4 - 6</t>
  </si>
  <si>
    <t>6 - 10</t>
  </si>
  <si>
    <t>10 - 14</t>
  </si>
  <si>
    <t>14 - 20</t>
  </si>
  <si>
    <t>cost ($/CY)</t>
  </si>
  <si>
    <t>Pipe cost data</t>
  </si>
  <si>
    <t>3/8 CY tractor loader/backhoe</t>
  </si>
  <si>
    <t>1/2 CY tractor loader/backhoe</t>
  </si>
  <si>
    <t>5/8 CY hydraulic backhoe</t>
  </si>
  <si>
    <t>3/4 CY hydraulic backhoe</t>
  </si>
  <si>
    <t>1 CY hydraulic backhoe</t>
  </si>
  <si>
    <t>1 1/2 CY hydraulic backhoe</t>
  </si>
  <si>
    <t>2 1/2 CY hydraulic backhoe</t>
  </si>
  <si>
    <t>3/4 CY hydraulic backhoe for 6-10 ft trench</t>
  </si>
  <si>
    <t>Trench Excavation Cost, $/CY</t>
  </si>
  <si>
    <t>segment 1</t>
  </si>
  <si>
    <t>segment 2</t>
  </si>
  <si>
    <t>Segment 3</t>
  </si>
  <si>
    <t>Segment 4</t>
  </si>
  <si>
    <t>Segment 5</t>
  </si>
  <si>
    <t>Segment 6</t>
  </si>
  <si>
    <t>Segment 7</t>
  </si>
  <si>
    <t>Segment 8</t>
  </si>
  <si>
    <t>Segment 9</t>
  </si>
  <si>
    <t>Segment 10</t>
  </si>
  <si>
    <t>Segment 11</t>
  </si>
  <si>
    <t>Segment 12</t>
  </si>
  <si>
    <t>Segment 13</t>
  </si>
  <si>
    <t>Segment 14</t>
  </si>
  <si>
    <t>Segment 15</t>
  </si>
  <si>
    <t>Segment 16</t>
  </si>
  <si>
    <t>Segment 17</t>
  </si>
  <si>
    <t>Segment 18</t>
  </si>
  <si>
    <t>Segment 19</t>
  </si>
  <si>
    <t>Segment 20</t>
  </si>
  <si>
    <t>Backfill trench, F.E.Loader</t>
  </si>
  <si>
    <t>1 CY bucket</t>
  </si>
  <si>
    <t>minimum haul</t>
  </si>
  <si>
    <t>100' haul</t>
  </si>
  <si>
    <t>2-1/4 CY bucket</t>
  </si>
  <si>
    <t>$/L.C.Y</t>
  </si>
  <si>
    <t>Trench Excavation Cost, $</t>
  </si>
  <si>
    <t>Bedding for pipe and conduit, not including compaction</t>
  </si>
  <si>
    <t>Crushed or screened bank run gravel</t>
  </si>
  <si>
    <t>Crushed stone 3/4" to 1/2"</t>
  </si>
  <si>
    <t>Sand, dead or bank</t>
  </si>
  <si>
    <t>Bedding material</t>
  </si>
  <si>
    <t>$/LCY</t>
  </si>
  <si>
    <t>Compacting bedding in trench</t>
  </si>
  <si>
    <t>4.11 $/ECY</t>
  </si>
  <si>
    <t>Cost of Bedding, $/LCY</t>
  </si>
  <si>
    <t>Select type of backhoe for trench excavation</t>
  </si>
  <si>
    <t>Size of backhoe for backfill</t>
  </si>
  <si>
    <t>Haul distance of backfill material (ft.)</t>
  </si>
  <si>
    <t>Cost of backfill, $/LCY</t>
  </si>
  <si>
    <t>Depth (ft)</t>
  </si>
  <si>
    <t>Riser Internal
Diameter, ft</t>
  </si>
  <si>
    <t>Cost, $/unit</t>
  </si>
  <si>
    <t>Cost of backfill, $</t>
  </si>
  <si>
    <t>Bedding depth (in.)</t>
  </si>
  <si>
    <t>Backfill depth (in.)</t>
  </si>
  <si>
    <t>Select City</t>
  </si>
  <si>
    <t>Select Year</t>
  </si>
  <si>
    <t>Trench top width (in.)</t>
  </si>
  <si>
    <t>Trench slope</t>
  </si>
  <si>
    <t>H=1, V=1</t>
  </si>
  <si>
    <t>H=2, V=1</t>
  </si>
  <si>
    <t>H=0, V=1</t>
  </si>
  <si>
    <t>H=1.5, V=1</t>
  </si>
  <si>
    <t>H=1, V=2</t>
  </si>
  <si>
    <t>Cost of pipe installation, $</t>
  </si>
  <si>
    <t>Total cost for individual segment, $</t>
  </si>
  <si>
    <t>diameter, in</t>
  </si>
  <si>
    <t>cost, $/LF</t>
  </si>
  <si>
    <t>Cost, $/LF</t>
  </si>
  <si>
    <t>diameter (in.)</t>
  </si>
  <si>
    <t>RCP lookup table</t>
  </si>
  <si>
    <t>Selected pipe diameter for each segment</t>
  </si>
  <si>
    <t>Internal riser diameter of manholes, in.</t>
  </si>
  <si>
    <t>Invert depth of manhole, in</t>
  </si>
  <si>
    <t>Capital costs estimated using 2006 RS Means Building Construction Cost Data</t>
  </si>
  <si>
    <t>Internal riser diameter of manholes, ft.</t>
  </si>
  <si>
    <t>Annualized value of all costs
during financing period, $</t>
  </si>
  <si>
    <r>
      <t>CMP</t>
    </r>
    <r>
      <rPr>
        <b/>
        <sz val="10"/>
        <rFont val="Arial"/>
        <family val="2"/>
      </rPr>
      <t xml:space="preserve"> galvanized and bituminous coated
with paved invert, 20' lengths (Not including
excavation and backfill)</t>
    </r>
  </si>
  <si>
    <t>segment 3</t>
  </si>
  <si>
    <t>segment 4</t>
  </si>
  <si>
    <t>segment 5</t>
  </si>
  <si>
    <t>segment 6</t>
  </si>
  <si>
    <t>segment 7</t>
  </si>
  <si>
    <t>segment 8</t>
  </si>
  <si>
    <t>segment 9</t>
  </si>
  <si>
    <t>segment 10</t>
  </si>
  <si>
    <t>segment 11</t>
  </si>
  <si>
    <t>segment 12</t>
  </si>
  <si>
    <t>segment 13</t>
  </si>
  <si>
    <t>segment 14</t>
  </si>
  <si>
    <t>segment 15</t>
  </si>
  <si>
    <t>segment 16</t>
  </si>
  <si>
    <t>segment 17</t>
  </si>
  <si>
    <t>segment 18</t>
  </si>
  <si>
    <t>segment 19</t>
  </si>
  <si>
    <t>segment 20</t>
  </si>
  <si>
    <t>Concrete,
cast in place
4'×4', 8" thick</t>
  </si>
  <si>
    <t>Brick, 4' I.D.</t>
  </si>
  <si>
    <t>Concrete blocks, 4' I.D.</t>
  </si>
  <si>
    <t>Stormdrainage Inlets</t>
  </si>
  <si>
    <t>Invert depth of Inlet (ft.)</t>
  </si>
  <si>
    <t>Manhole type</t>
  </si>
  <si>
    <t>Depth of manhole (ft.)</t>
  </si>
  <si>
    <t>Stormwater drainage manhole</t>
  </si>
  <si>
    <t>Depth of manhole</t>
  </si>
  <si>
    <t>Inlet Cost, $</t>
  </si>
  <si>
    <t>Trench depth (ft.)</t>
  </si>
  <si>
    <t>Number of inlets with above conditions</t>
  </si>
  <si>
    <t>Number of manholes with above conditions</t>
  </si>
  <si>
    <t>Curb and gutter</t>
  </si>
  <si>
    <t>wood forms</t>
  </si>
  <si>
    <t>with 6" high curb and 6" thick gutter</t>
  </si>
  <si>
    <t>$/LF</t>
  </si>
  <si>
    <t>24" wide</t>
  </si>
  <si>
    <t>0.055 C.Y. per L.F.</t>
  </si>
  <si>
    <t>30" wide</t>
  </si>
  <si>
    <t>steel forms</t>
  </si>
  <si>
    <t>straight</t>
  </si>
  <si>
    <t>radius</t>
  </si>
  <si>
    <t>30 " wide</t>
  </si>
  <si>
    <t>machine formed</t>
  </si>
  <si>
    <t>Precast 6" * 18"</t>
  </si>
  <si>
    <t>Curb and gutter forms</t>
  </si>
  <si>
    <t>Curb and gutter type</t>
  </si>
  <si>
    <t>-NA-</t>
  </si>
  <si>
    <t>Machine formed</t>
  </si>
  <si>
    <t>Wooden form</t>
  </si>
  <si>
    <t>Steel form</t>
  </si>
  <si>
    <t>24"</t>
  </si>
  <si>
    <t>30"</t>
  </si>
  <si>
    <t>Straight</t>
  </si>
  <si>
    <t>Radius</t>
  </si>
  <si>
    <t>Total length of chosen curb, ft</t>
  </si>
  <si>
    <t>Width, in.</t>
  </si>
  <si>
    <t>Total cost of curb and gutter, $</t>
  </si>
  <si>
    <t>Precast, 6" × 8"</t>
  </si>
  <si>
    <t>Arvind Narayanan</t>
  </si>
  <si>
    <t>Robert Pitt</t>
  </si>
  <si>
    <t>&amp;</t>
  </si>
  <si>
    <t>Continue</t>
  </si>
  <si>
    <t>Curb and Gutter</t>
  </si>
  <si>
    <t>Buffalo, NY</t>
  </si>
  <si>
    <t>Columbus, OH</t>
  </si>
  <si>
    <t>Houston, TX</t>
  </si>
  <si>
    <t>Indianapolis, IN</t>
  </si>
  <si>
    <t>Memphis, TN</t>
  </si>
  <si>
    <t>Nashville, TN</t>
  </si>
  <si>
    <t>Phoenix, AZ</t>
  </si>
  <si>
    <t>San Antonio, TX</t>
  </si>
  <si>
    <t>San Diego, CA</t>
  </si>
  <si>
    <t>Washington, DC</t>
  </si>
  <si>
    <t>30-city average</t>
  </si>
  <si>
    <t>average
30-city CCI</t>
  </si>
  <si>
    <t>Stormwater Conveyance System Cost Estimation Model</t>
  </si>
  <si>
    <t>ENR Construction Cost Index</t>
  </si>
  <si>
    <t>Interest rate on debt capital, %</t>
  </si>
  <si>
    <t>Financing Period, years</t>
  </si>
  <si>
    <t>Inlet inside diameter (ft.)</t>
  </si>
  <si>
    <t>City Cost Index Multiplier using ENR</t>
  </si>
  <si>
    <t>Segment XXI</t>
  </si>
  <si>
    <t>Segment XXII</t>
  </si>
  <si>
    <t>Segment XXIII</t>
  </si>
  <si>
    <t>Segment XXIV</t>
  </si>
  <si>
    <t>Segment XXV</t>
  </si>
  <si>
    <t>Segment XXVI</t>
  </si>
  <si>
    <t>Segment XXVII</t>
  </si>
  <si>
    <t>Segment XXVIII</t>
  </si>
  <si>
    <t>Segment XXIX</t>
  </si>
  <si>
    <t>Segment XXX</t>
  </si>
  <si>
    <t>Segment XXXI</t>
  </si>
  <si>
    <t>Segment XXXII</t>
  </si>
  <si>
    <t>Segment XXXIII</t>
  </si>
  <si>
    <t>Segment XXXIV</t>
  </si>
  <si>
    <t>Segment XXXV</t>
  </si>
  <si>
    <t>Segment XXXVI</t>
  </si>
  <si>
    <t>Segment XXXVII</t>
  </si>
  <si>
    <t>Segment XXXVIII</t>
  </si>
  <si>
    <t>Segment XXXIX</t>
  </si>
  <si>
    <t>Segment XL</t>
  </si>
  <si>
    <t>Segment XLI</t>
  </si>
  <si>
    <t>Segment XLII</t>
  </si>
  <si>
    <t>Segment XLIII</t>
  </si>
  <si>
    <t>Segment XLIV</t>
  </si>
  <si>
    <t>Segment XLV</t>
  </si>
  <si>
    <t>Segment XLVI</t>
  </si>
  <si>
    <t>Segment XLVII</t>
  </si>
  <si>
    <t>Segment XLVIII</t>
  </si>
  <si>
    <t>Segment XLIX</t>
  </si>
  <si>
    <t>Segment L</t>
  </si>
  <si>
    <t>Segment LI</t>
  </si>
  <si>
    <t>Segment LII</t>
  </si>
  <si>
    <t>Segment LIII</t>
  </si>
  <si>
    <t>Segment LIV</t>
  </si>
  <si>
    <t>Segment LV</t>
  </si>
  <si>
    <t>Segment LVI</t>
  </si>
  <si>
    <t>Segment LVII</t>
  </si>
  <si>
    <t>Segment LVIII</t>
  </si>
  <si>
    <t>Segment LIX</t>
  </si>
  <si>
    <t>Segment LX</t>
  </si>
  <si>
    <t>Segment LXI</t>
  </si>
  <si>
    <t>Segment LXII</t>
  </si>
  <si>
    <t>Segment LXIII</t>
  </si>
  <si>
    <t>Segment LXIV</t>
  </si>
  <si>
    <t>Segment LXV</t>
  </si>
  <si>
    <t>Segment LXVI</t>
  </si>
  <si>
    <t>Segment LXVII</t>
  </si>
  <si>
    <t>Segment LXVIII</t>
  </si>
  <si>
    <t>Segment LXXI</t>
  </si>
  <si>
    <t>Segment LXIX</t>
  </si>
  <si>
    <t>Segment LXX</t>
  </si>
  <si>
    <t>Segment LXXII</t>
  </si>
  <si>
    <t>Segment LXXIII</t>
  </si>
  <si>
    <t>Segment LXXIV</t>
  </si>
  <si>
    <t>Segment LXXV</t>
  </si>
  <si>
    <t>Segment LXXVI</t>
  </si>
  <si>
    <t>Segment LXXVII</t>
  </si>
  <si>
    <t>Segment LXXVIII</t>
  </si>
  <si>
    <t>Segment LXXIX</t>
  </si>
  <si>
    <t>Segment LXXX</t>
  </si>
  <si>
    <t>Segment LXXXI</t>
  </si>
  <si>
    <t>Segment LXXXII</t>
  </si>
  <si>
    <t>Segment LXXXIII</t>
  </si>
  <si>
    <t>Segment LXXXIV</t>
  </si>
  <si>
    <t>Segment LXXXV</t>
  </si>
  <si>
    <t>Segment LXXXVI</t>
  </si>
  <si>
    <t>Segment LXXXVII</t>
  </si>
  <si>
    <t>Segment LXXXVIII</t>
  </si>
  <si>
    <t>Segment LXXXIX</t>
  </si>
  <si>
    <t>Segment XC</t>
  </si>
  <si>
    <t>Segment XCI</t>
  </si>
  <si>
    <t>Segment XCII</t>
  </si>
  <si>
    <t>Segment XCIII</t>
  </si>
  <si>
    <t>Segment XCIV</t>
  </si>
  <si>
    <t>Segment XCV</t>
  </si>
  <si>
    <t>Segment XCVI</t>
  </si>
  <si>
    <t>Segment XCVII</t>
  </si>
  <si>
    <t>Segment XCVIII</t>
  </si>
  <si>
    <t>Segment XCIX</t>
  </si>
  <si>
    <t>Segment C</t>
  </si>
  <si>
    <t>Inlets/Catchbasin and
Manholes/Junction boxes</t>
  </si>
  <si>
    <t>Length of pipe with above conditions (ft.)</t>
  </si>
  <si>
    <t>segment 21</t>
  </si>
  <si>
    <t>segment 22</t>
  </si>
  <si>
    <t>segment 23</t>
  </si>
  <si>
    <t>segment 24</t>
  </si>
  <si>
    <t>segment 25</t>
  </si>
  <si>
    <t>segment 26</t>
  </si>
  <si>
    <t>segment 27</t>
  </si>
  <si>
    <t>segment 28</t>
  </si>
  <si>
    <t>segment 29</t>
  </si>
  <si>
    <t>segment 30</t>
  </si>
  <si>
    <t>segment 31</t>
  </si>
  <si>
    <t>segment 32</t>
  </si>
  <si>
    <t>segment 33</t>
  </si>
  <si>
    <t>segment 34</t>
  </si>
  <si>
    <t>segment 35</t>
  </si>
  <si>
    <t>segment 36</t>
  </si>
  <si>
    <t>segment 37</t>
  </si>
  <si>
    <t>segment 38</t>
  </si>
  <si>
    <t>segment 39</t>
  </si>
  <si>
    <t>segment 40</t>
  </si>
  <si>
    <t>segment 41</t>
  </si>
  <si>
    <t>segment 42</t>
  </si>
  <si>
    <t>segment 43</t>
  </si>
  <si>
    <t>segment 44</t>
  </si>
  <si>
    <t>segment 45</t>
  </si>
  <si>
    <t>segment 46</t>
  </si>
  <si>
    <t>segment 47</t>
  </si>
  <si>
    <t>segment 48</t>
  </si>
  <si>
    <t>segment 49</t>
  </si>
  <si>
    <t>segment 50</t>
  </si>
  <si>
    <t>segment 51</t>
  </si>
  <si>
    <t>segment 52</t>
  </si>
  <si>
    <t>segment 53</t>
  </si>
  <si>
    <t>segment 54</t>
  </si>
  <si>
    <t>segment 55</t>
  </si>
  <si>
    <t>segment 56</t>
  </si>
  <si>
    <t>segment 57</t>
  </si>
  <si>
    <t>segment 58</t>
  </si>
  <si>
    <t>segment 59</t>
  </si>
  <si>
    <t>segment 60</t>
  </si>
  <si>
    <t>segment 61</t>
  </si>
  <si>
    <t>segment 62</t>
  </si>
  <si>
    <t>segment 63</t>
  </si>
  <si>
    <t>segment 64</t>
  </si>
  <si>
    <t>segment 65</t>
  </si>
  <si>
    <t>segment 66</t>
  </si>
  <si>
    <t>segment 67</t>
  </si>
  <si>
    <t>segment 68</t>
  </si>
  <si>
    <t>segment 69</t>
  </si>
  <si>
    <t>segment 70</t>
  </si>
  <si>
    <t>segment 71</t>
  </si>
  <si>
    <t>segment 72</t>
  </si>
  <si>
    <t>segment 73</t>
  </si>
  <si>
    <t>segment 74</t>
  </si>
  <si>
    <t>segment 75</t>
  </si>
  <si>
    <t>segment 76</t>
  </si>
  <si>
    <t>segment 77</t>
  </si>
  <si>
    <t>segment 78</t>
  </si>
  <si>
    <t>segment 79</t>
  </si>
  <si>
    <t>segment 80</t>
  </si>
  <si>
    <t>segment 81</t>
  </si>
  <si>
    <t>segment 82</t>
  </si>
  <si>
    <t>segment 83</t>
  </si>
  <si>
    <t>segment 84</t>
  </si>
  <si>
    <t>segment 85</t>
  </si>
  <si>
    <t>segment 86</t>
  </si>
  <si>
    <t>segment 87</t>
  </si>
  <si>
    <t>segment 88</t>
  </si>
  <si>
    <t>segment 89</t>
  </si>
  <si>
    <t>segment 90</t>
  </si>
  <si>
    <t>segment 91</t>
  </si>
  <si>
    <t>segment 92</t>
  </si>
  <si>
    <t>segment 93</t>
  </si>
  <si>
    <t>segment 94</t>
  </si>
  <si>
    <t>segment 95</t>
  </si>
  <si>
    <t>segment 96</t>
  </si>
  <si>
    <t>segment 97</t>
  </si>
  <si>
    <t>segment 98</t>
  </si>
  <si>
    <t>segment 99</t>
  </si>
  <si>
    <t>segment 100</t>
  </si>
  <si>
    <t>segment 101</t>
  </si>
  <si>
    <t>segment 102</t>
  </si>
  <si>
    <t>segment 103</t>
  </si>
  <si>
    <t>Segment 21</t>
  </si>
  <si>
    <t>Segment 22</t>
  </si>
  <si>
    <t>Segment 23</t>
  </si>
  <si>
    <t>Segment 24</t>
  </si>
  <si>
    <t>Segment 25</t>
  </si>
  <si>
    <t>Segment 26</t>
  </si>
  <si>
    <t>Segment 27</t>
  </si>
  <si>
    <t>Segment 28</t>
  </si>
  <si>
    <t>Segment 29</t>
  </si>
  <si>
    <t>Segment 30</t>
  </si>
  <si>
    <t>Segment 31</t>
  </si>
  <si>
    <t>Segment 32</t>
  </si>
  <si>
    <t>Segment 33</t>
  </si>
  <si>
    <t>Segment 34</t>
  </si>
  <si>
    <t>Segment 35</t>
  </si>
  <si>
    <t>Segment 36</t>
  </si>
  <si>
    <t>Segment 37</t>
  </si>
  <si>
    <t>Segment 38</t>
  </si>
  <si>
    <t>Segment 39</t>
  </si>
  <si>
    <t>Segment 40</t>
  </si>
  <si>
    <t>Segment 41</t>
  </si>
  <si>
    <t>Segment 42</t>
  </si>
  <si>
    <t>Segment 43</t>
  </si>
  <si>
    <t>Segment 44</t>
  </si>
  <si>
    <t>Segment 45</t>
  </si>
  <si>
    <t>Segment 46</t>
  </si>
  <si>
    <t>Segment 47</t>
  </si>
  <si>
    <t>Segment 48</t>
  </si>
  <si>
    <t>Segment 49</t>
  </si>
  <si>
    <t>Segment 50</t>
  </si>
  <si>
    <t>Segment 51</t>
  </si>
  <si>
    <t>Segment 52</t>
  </si>
  <si>
    <t>Segment 53</t>
  </si>
  <si>
    <t>Segment 54</t>
  </si>
  <si>
    <t>Segment 55</t>
  </si>
  <si>
    <t>Segment 56</t>
  </si>
  <si>
    <t>Segment 57</t>
  </si>
  <si>
    <t>Segment 58</t>
  </si>
  <si>
    <t>Segment 59</t>
  </si>
  <si>
    <t>Segment 60</t>
  </si>
  <si>
    <t>Segment 61</t>
  </si>
  <si>
    <t>Segment 62</t>
  </si>
  <si>
    <t>Segment 63</t>
  </si>
  <si>
    <t>Segment 64</t>
  </si>
  <si>
    <t>Segment 65</t>
  </si>
  <si>
    <t>Segment 66</t>
  </si>
  <si>
    <t>Segment 67</t>
  </si>
  <si>
    <t>Segment 68</t>
  </si>
  <si>
    <t>Segment 69</t>
  </si>
  <si>
    <t>Segment 70</t>
  </si>
  <si>
    <t>Segment 71</t>
  </si>
  <si>
    <t>Segment 72</t>
  </si>
  <si>
    <t>Segment 73</t>
  </si>
  <si>
    <t>Segment 74</t>
  </si>
  <si>
    <t>Segment 75</t>
  </si>
  <si>
    <t>Segment 76</t>
  </si>
  <si>
    <t>Segment 77</t>
  </si>
  <si>
    <t>Segment 78</t>
  </si>
  <si>
    <t>Segment 79</t>
  </si>
  <si>
    <t>Segment 80</t>
  </si>
  <si>
    <t>Segment 81</t>
  </si>
  <si>
    <t>Segment 82</t>
  </si>
  <si>
    <t>Segment 83</t>
  </si>
  <si>
    <t>Segment 84</t>
  </si>
  <si>
    <t>Segment 85</t>
  </si>
  <si>
    <t>Segment 86</t>
  </si>
  <si>
    <t>Segment 87</t>
  </si>
  <si>
    <t>Segment 88</t>
  </si>
  <si>
    <t>Segment 89</t>
  </si>
  <si>
    <t>Segment 90</t>
  </si>
  <si>
    <t>Segment 91</t>
  </si>
  <si>
    <t>Segment 92</t>
  </si>
  <si>
    <t>Segment 93</t>
  </si>
  <si>
    <t>Segment 94</t>
  </si>
  <si>
    <t>Segment 95</t>
  </si>
  <si>
    <t>Segment 96</t>
  </si>
  <si>
    <t>Segment 97</t>
  </si>
  <si>
    <t>Segment 98</t>
  </si>
  <si>
    <t>Segment 99</t>
  </si>
  <si>
    <t>Segment 100</t>
  </si>
  <si>
    <t>compaction, $/CY</t>
  </si>
  <si>
    <t>Total, $/CY</t>
  </si>
  <si>
    <t>Frames and Covers</t>
  </si>
  <si>
    <t>Type</t>
  </si>
  <si>
    <t>Cast Iron frame - light traffic</t>
  </si>
  <si>
    <t>Mass. State standard</t>
  </si>
  <si>
    <t>Watertight</t>
  </si>
  <si>
    <t>Diameter</t>
  </si>
  <si>
    <t>Total number of each unit</t>
  </si>
  <si>
    <t>26" D shape, 600 lb</t>
  </si>
  <si>
    <t>24" square, 500 lb</t>
  </si>
  <si>
    <t>Light traffic</t>
  </si>
  <si>
    <t>36" diameter, 900 lb</t>
  </si>
  <si>
    <t>24" diameter, 300 lb</t>
  </si>
  <si>
    <t>18" diameter, 100 lb</t>
  </si>
  <si>
    <t>Heavy traffic</t>
  </si>
  <si>
    <t>24" diameter, 400 lb</t>
  </si>
  <si>
    <t>36" diameter, 1150 lb</t>
  </si>
  <si>
    <t>26" diameter, 475 lb</t>
  </si>
  <si>
    <t>30" diameter, 620 lb</t>
  </si>
  <si>
    <t>24" diameter, 350 lb</t>
  </si>
  <si>
    <t>26" diameter, 500 lb</t>
  </si>
  <si>
    <t>32" diameter, 575 lb</t>
  </si>
  <si>
    <t>Cast Iron frame - heavy traffic</t>
  </si>
  <si>
    <t>Frames and covers, Cast Iron</t>
  </si>
  <si>
    <t>$/Ea.</t>
  </si>
  <si>
    <t>3 piece cover &amp; frame, 10" deep,
 1200 lb</t>
  </si>
  <si>
    <t>Others</t>
  </si>
  <si>
    <t>Total cost of frames and covers, $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</si>
</sst>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2"/>
    </font>
    <font>
      <b/>
      <sz val="9.75"/>
      <name val="Arial"/>
      <family val="2"/>
    </font>
    <font>
      <vertAlign val="superscript"/>
      <sz val="8"/>
      <name val="Arial"/>
      <family val="2"/>
    </font>
    <font>
      <vertAlign val="superscript"/>
      <sz val="8.75"/>
      <name val="Arial"/>
      <family val="0"/>
    </font>
    <font>
      <vertAlign val="superscript"/>
      <sz val="9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9"/>
      <name val="Arial"/>
      <family val="0"/>
    </font>
    <font>
      <sz val="10.5"/>
      <name val="Arial"/>
      <family val="2"/>
    </font>
    <font>
      <b/>
      <sz val="11"/>
      <name val="Times New Roman"/>
      <family val="1"/>
    </font>
    <font>
      <b/>
      <sz val="2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1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2" fontId="0" fillId="0" borderId="3" xfId="0" applyNumberForma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 horizontal="center" vertical="center"/>
      <protection/>
    </xf>
    <xf numFmtId="170" fontId="0" fillId="0" borderId="0" xfId="0" applyNumberFormat="1" applyFont="1" applyAlignment="1" applyProtection="1">
      <alignment horizontal="center" vertical="center"/>
      <protection/>
    </xf>
    <xf numFmtId="2" fontId="2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3" borderId="0" xfId="0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24" fillId="3" borderId="0" xfId="0" applyFont="1" applyFill="1" applyAlignment="1">
      <alignment/>
    </xf>
    <xf numFmtId="0" fontId="23" fillId="3" borderId="0" xfId="0" applyFont="1" applyFill="1" applyAlignment="1">
      <alignment vertical="center"/>
    </xf>
    <xf numFmtId="0" fontId="0" fillId="3" borderId="0" xfId="0" applyFill="1" applyAlignment="1">
      <alignment/>
    </xf>
    <xf numFmtId="2" fontId="0" fillId="0" borderId="0" xfId="0" applyNumberFormat="1" applyAlignment="1">
      <alignment horizontal="center"/>
    </xf>
    <xf numFmtId="0" fontId="0" fillId="0" borderId="8" xfId="0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172" fontId="0" fillId="4" borderId="2" xfId="0" applyNumberFormat="1" applyFont="1" applyFill="1" applyBorder="1" applyAlignment="1" applyProtection="1">
      <alignment horizontal="center" vertical="center"/>
      <protection/>
    </xf>
    <xf numFmtId="172" fontId="0" fillId="0" borderId="2" xfId="0" applyNumberFormat="1" applyFont="1" applyFill="1" applyBorder="1" applyAlignment="1" applyProtection="1">
      <alignment horizontal="center" vertical="center"/>
      <protection locked="0"/>
    </xf>
    <xf numFmtId="2" fontId="0" fillId="4" borderId="2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2" fontId="5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72" fontId="0" fillId="0" borderId="15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2" fontId="0" fillId="0" borderId="2" xfId="0" applyNumberFormat="1" applyFont="1" applyFill="1" applyBorder="1" applyAlignment="1" applyProtection="1">
      <alignment horizontal="center" vertical="center"/>
      <protection locked="0"/>
    </xf>
    <xf numFmtId="170" fontId="0" fillId="4" borderId="2" xfId="0" applyNumberFormat="1" applyFont="1" applyFill="1" applyBorder="1" applyAlignment="1" applyProtection="1">
      <alignment horizontal="center" vertical="center"/>
      <protection/>
    </xf>
    <xf numFmtId="2" fontId="2" fillId="4" borderId="2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49" fontId="0" fillId="0" borderId="2" xfId="0" applyNumberFormat="1" applyBorder="1" applyAlignment="1" applyProtection="1">
      <alignment horizontal="center"/>
      <protection/>
    </xf>
    <xf numFmtId="0" fontId="0" fillId="0" borderId="2" xfId="0" applyNumberFormat="1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Alignment="1" applyProtection="1">
      <alignment horizontal="center" vertical="center"/>
      <protection/>
    </xf>
    <xf numFmtId="172" fontId="0" fillId="4" borderId="3" xfId="0" applyNumberFormat="1" applyFont="1" applyFill="1" applyBorder="1" applyAlignment="1" applyProtection="1">
      <alignment horizontal="center" vertical="center"/>
      <protection/>
    </xf>
    <xf numFmtId="172" fontId="0" fillId="0" borderId="3" xfId="0" applyNumberFormat="1" applyFont="1" applyFill="1" applyBorder="1" applyAlignment="1" applyProtection="1">
      <alignment horizontal="center" vertical="center"/>
      <protection locked="0"/>
    </xf>
    <xf numFmtId="2" fontId="0" fillId="4" borderId="3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25" fillId="2" borderId="18" xfId="0" applyFont="1" applyFill="1" applyBorder="1" applyAlignment="1">
      <alignment horizontal="center" vertical="top" wrapText="1"/>
    </xf>
    <xf numFmtId="0" fontId="25" fillId="2" borderId="19" xfId="0" applyFont="1" applyFill="1" applyBorder="1" applyAlignment="1">
      <alignment horizontal="center" vertical="top" wrapText="1"/>
    </xf>
    <xf numFmtId="0" fontId="25" fillId="2" borderId="20" xfId="0" applyFont="1" applyFill="1" applyBorder="1" applyAlignment="1">
      <alignment horizontal="center" vertical="top" wrapText="1"/>
    </xf>
    <xf numFmtId="0" fontId="25" fillId="2" borderId="17" xfId="0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5" fillId="2" borderId="21" xfId="0" applyFont="1" applyFill="1" applyBorder="1" applyAlignment="1">
      <alignment horizontal="center" vertical="top" wrapText="1"/>
    </xf>
    <xf numFmtId="0" fontId="25" fillId="2" borderId="22" xfId="0" applyFont="1" applyFill="1" applyBorder="1" applyAlignment="1">
      <alignment horizontal="center" vertical="top" wrapText="1"/>
    </xf>
    <xf numFmtId="0" fontId="25" fillId="2" borderId="23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5" fillId="2" borderId="6" xfId="0" applyFont="1" applyFill="1" applyBorder="1" applyAlignment="1">
      <alignment horizontal="center" vertical="top" wrapText="1"/>
    </xf>
    <xf numFmtId="0" fontId="25" fillId="2" borderId="7" xfId="0" applyFont="1" applyFill="1" applyBorder="1" applyAlignment="1">
      <alignment horizontal="center" vertical="top" wrapText="1"/>
    </xf>
    <xf numFmtId="0" fontId="25" fillId="2" borderId="5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5" fillId="2" borderId="24" xfId="0" applyFont="1" applyFill="1" applyBorder="1" applyAlignment="1">
      <alignment horizontal="center" vertical="top" wrapText="1"/>
    </xf>
    <xf numFmtId="0" fontId="25" fillId="2" borderId="25" xfId="0" applyFont="1" applyFill="1" applyBorder="1" applyAlignment="1">
      <alignment horizontal="center" vertical="top" wrapText="1"/>
    </xf>
    <xf numFmtId="0" fontId="25" fillId="2" borderId="26" xfId="0" applyFont="1" applyFill="1" applyBorder="1" applyAlignment="1">
      <alignment horizontal="center" vertical="top" wrapText="1"/>
    </xf>
    <xf numFmtId="0" fontId="25" fillId="2" borderId="14" xfId="0" applyFont="1" applyFill="1" applyBorder="1" applyAlignment="1">
      <alignment horizontal="center" vertical="top" wrapText="1"/>
    </xf>
    <xf numFmtId="0" fontId="25" fillId="2" borderId="8" xfId="0" applyFont="1" applyFill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25" fillId="2" borderId="27" xfId="0" applyFont="1" applyFill="1" applyBorder="1" applyAlignment="1">
      <alignment horizontal="center" vertical="top" wrapText="1"/>
    </xf>
    <xf numFmtId="2" fontId="25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29" xfId="0" applyFont="1" applyBorder="1" applyAlignment="1" applyProtection="1">
      <alignment wrapText="1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Catchbasin Inlet cost vs. depth, 4 ft ID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1625"/>
          <c:w val="0.924"/>
          <c:h val="0.85275"/>
        </c:manualLayout>
      </c:layout>
      <c:scatterChart>
        <c:scatterStyle val="smoothMarker"/>
        <c:varyColors val="0"/>
        <c:ser>
          <c:idx val="0"/>
          <c:order val="0"/>
          <c:tx>
            <c:v>Manhole cost for 4 ft internal riser diameter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 = 5.2455H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+ 159.51H + 457.5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inlet!$B$4:$B$9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inlet!$C$4:$C$9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54096165"/>
        <c:axId val="17103438"/>
      </c:scatterChart>
      <c:valAx>
        <c:axId val="5409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depth,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03438"/>
        <c:crosses val="autoZero"/>
        <c:crossBetween val="midCat"/>
        <c:dispUnits/>
      </c:valAx>
      <c:valAx>
        <c:axId val="1710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cost, $/unit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961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Catchbasin Inlet cost vs. depth, 5 ft ID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525"/>
          <c:w val="0.92425"/>
          <c:h val="0.88375"/>
        </c:manualLayout>
      </c:layout>
      <c:scatterChart>
        <c:scatterStyle val="smoothMarker"/>
        <c:varyColors val="0"/>
        <c:ser>
          <c:idx val="0"/>
          <c:order val="0"/>
          <c:tx>
            <c:v>manhole cost, 5 ft 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 = 3.2188H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+ 223.39H + 331.04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inlet!$B$10:$B$15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inlet!$C$10:$C$15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</c:ser>
        <c:axId val="19713215"/>
        <c:axId val="43201208"/>
      </c:scatterChart>
      <c:valAx>
        <c:axId val="19713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depth,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1208"/>
        <c:crosses val="autoZero"/>
        <c:crossBetween val="midCat"/>
        <c:dispUnits/>
      </c:valAx>
      <c:valAx>
        <c:axId val="4320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cost, $/unit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132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Catchbasin Inlet cost vs. depth, 6 ft ID</a:t>
            </a:r>
          </a:p>
        </c:rich>
      </c:tx>
      <c:layout>
        <c:manualLayout>
          <c:xMode val="factor"/>
          <c:yMode val="factor"/>
          <c:x val="-0.0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62"/>
          <c:w val="0.919"/>
          <c:h val="0.91475"/>
        </c:manualLayout>
      </c:layout>
      <c:scatterChart>
        <c:scatterStyle val="smoothMarker"/>
        <c:varyColors val="0"/>
        <c:ser>
          <c:idx val="0"/>
          <c:order val="0"/>
          <c:tx>
            <c:v>Manhole cost, 6 ft 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 = 6.875H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+ 305.82H + 653.86
R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= 0.9993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inlet!$B$16:$B$21</c:f>
              <c:numCache>
                <c:ptCount val="6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</c:numCache>
            </c:numRef>
          </c:xVal>
          <c:yVal>
            <c:numRef>
              <c:f>inlet!$C$16:$C$21</c:f>
              <c:numCache>
                <c:ptCount val="6"/>
                <c:pt idx="0">
                  <c:v>2025</c:v>
                </c:pt>
                <c:pt idx="1">
                  <c:v>2675</c:v>
                </c:pt>
                <c:pt idx="2">
                  <c:v>3525</c:v>
                </c:pt>
                <c:pt idx="3">
                  <c:v>4435</c:v>
                </c:pt>
                <c:pt idx="4">
                  <c:v>5345</c:v>
                </c:pt>
                <c:pt idx="5">
                  <c:v>6255</c:v>
                </c:pt>
              </c:numCache>
            </c:numRef>
          </c:yVal>
          <c:smooth val="1"/>
        </c:ser>
        <c:axId val="53266553"/>
        <c:axId val="9636930"/>
      </c:scatterChart>
      <c:valAx>
        <c:axId val="5326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depth, 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36930"/>
        <c:crosses val="autoZero"/>
        <c:crossBetween val="midCat"/>
        <c:dispUnits/>
      </c:valAx>
      <c:valAx>
        <c:axId val="963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cost, $/unit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665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Brick, 4' ID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0075"/>
          <c:w val="0.89725"/>
          <c:h val="0.88375"/>
        </c:manualLayout>
      </c:layout>
      <c:scatterChart>
        <c:scatterStyle val="smoothMarker"/>
        <c:varyColors val="0"/>
        <c:ser>
          <c:idx val="0"/>
          <c:order val="0"/>
          <c:tx>
            <c:v>Brick manhole, 4' ID cost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manhole!$B$3:$B$7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manhole!$C$3:$C$7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9623507"/>
        <c:axId val="42393836"/>
      </c:scatterChart>
      <c:valAx>
        <c:axId val="19623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93836"/>
        <c:crosses val="autoZero"/>
        <c:crossBetween val="midCat"/>
        <c:dispUnits/>
      </c:valAx>
      <c:valAx>
        <c:axId val="42393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Cost, $/Unit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235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Concrete blocks, 4' ID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8525"/>
          <c:w val="0.926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v>Concrete blocks, 4' 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manhole!$B$8:$B$12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manhole!$C$8:$C$12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46000205"/>
        <c:axId val="11348662"/>
      </c:scatterChart>
      <c:valAx>
        <c:axId val="46000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48662"/>
        <c:crosses val="autoZero"/>
        <c:crossBetween val="midCat"/>
        <c:dispUnits/>
      </c:valAx>
      <c:valAx>
        <c:axId val="1134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Cost ($/unit)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002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Concrete cast in place, 4'*4', 8" thick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97"/>
          <c:w val="0.8975"/>
          <c:h val="0.899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manhole!$B$13:$B$17</c:f>
              <c:numCache>
                <c:ptCount val="5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</c:numCache>
            </c:numRef>
          </c:xVal>
          <c:yVal>
            <c:numRef>
              <c:f>manhole!$C$13:$C$17</c:f>
              <c:numCache>
                <c:ptCount val="5"/>
                <c:pt idx="0">
                  <c:v>1825</c:v>
                </c:pt>
                <c:pt idx="1">
                  <c:v>2525</c:v>
                </c:pt>
                <c:pt idx="2">
                  <c:v>3725</c:v>
                </c:pt>
                <c:pt idx="3">
                  <c:v>4635</c:v>
                </c:pt>
                <c:pt idx="4">
                  <c:v>5545</c:v>
                </c:pt>
              </c:numCache>
            </c:numRef>
          </c:yVal>
          <c:smooth val="1"/>
        </c:ser>
        <c:axId val="35029095"/>
        <c:axId val="46826400"/>
      </c:scatterChart>
      <c:valAx>
        <c:axId val="35029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26400"/>
        <c:crosses val="autoZero"/>
        <c:crossBetween val="midCat"/>
        <c:dispUnits/>
      </c:valAx>
      <c:valAx>
        <c:axId val="46826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Cost ($/unit)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290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114300</xdr:rowOff>
    </xdr:from>
    <xdr:to>
      <xdr:col>9</xdr:col>
      <xdr:colOff>209550</xdr:colOff>
      <xdr:row>15</xdr:row>
      <xdr:rowOff>47625</xdr:rowOff>
    </xdr:to>
    <xdr:graphicFrame>
      <xdr:nvGraphicFramePr>
        <xdr:cNvPr id="1" name="Chart 4"/>
        <xdr:cNvGraphicFramePr/>
      </xdr:nvGraphicFramePr>
      <xdr:xfrm>
        <a:off x="3448050" y="114300"/>
        <a:ext cx="37147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15</xdr:row>
      <xdr:rowOff>133350</xdr:rowOff>
    </xdr:from>
    <xdr:to>
      <xdr:col>9</xdr:col>
      <xdr:colOff>228600</xdr:colOff>
      <xdr:row>31</xdr:row>
      <xdr:rowOff>85725</xdr:rowOff>
    </xdr:to>
    <xdr:graphicFrame>
      <xdr:nvGraphicFramePr>
        <xdr:cNvPr id="2" name="Chart 5"/>
        <xdr:cNvGraphicFramePr/>
      </xdr:nvGraphicFramePr>
      <xdr:xfrm>
        <a:off x="3448050" y="2743200"/>
        <a:ext cx="37338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32</xdr:row>
      <xdr:rowOff>38100</xdr:rowOff>
    </xdr:from>
    <xdr:to>
      <xdr:col>9</xdr:col>
      <xdr:colOff>238125</xdr:colOff>
      <xdr:row>47</xdr:row>
      <xdr:rowOff>152400</xdr:rowOff>
    </xdr:to>
    <xdr:graphicFrame>
      <xdr:nvGraphicFramePr>
        <xdr:cNvPr id="3" name="Chart 6"/>
        <xdr:cNvGraphicFramePr/>
      </xdr:nvGraphicFramePr>
      <xdr:xfrm>
        <a:off x="3457575" y="5400675"/>
        <a:ext cx="37338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38100</xdr:rowOff>
    </xdr:from>
    <xdr:to>
      <xdr:col>10</xdr:col>
      <xdr:colOff>238125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3533775" y="200025"/>
        <a:ext cx="40767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15</xdr:row>
      <xdr:rowOff>114300</xdr:rowOff>
    </xdr:from>
    <xdr:to>
      <xdr:col>10</xdr:col>
      <xdr:colOff>238125</xdr:colOff>
      <xdr:row>29</xdr:row>
      <xdr:rowOff>66675</xdr:rowOff>
    </xdr:to>
    <xdr:graphicFrame>
      <xdr:nvGraphicFramePr>
        <xdr:cNvPr id="2" name="Chart 2"/>
        <xdr:cNvGraphicFramePr/>
      </xdr:nvGraphicFramePr>
      <xdr:xfrm>
        <a:off x="3533775" y="2867025"/>
        <a:ext cx="40767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428625</xdr:colOff>
      <xdr:row>29</xdr:row>
      <xdr:rowOff>123825</xdr:rowOff>
    </xdr:from>
    <xdr:to>
      <xdr:col>10</xdr:col>
      <xdr:colOff>247650</xdr:colOff>
      <xdr:row>45</xdr:row>
      <xdr:rowOff>76200</xdr:rowOff>
    </xdr:to>
    <xdr:graphicFrame>
      <xdr:nvGraphicFramePr>
        <xdr:cNvPr id="3" name="Chart 3"/>
        <xdr:cNvGraphicFramePr/>
      </xdr:nvGraphicFramePr>
      <xdr:xfrm>
        <a:off x="3533775" y="5467350"/>
        <a:ext cx="40862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7:M18"/>
  <sheetViews>
    <sheetView showGridLines="0" tabSelected="1" workbookViewId="0" topLeftCell="A1">
      <selection activeCell="A52" sqref="A52"/>
    </sheetView>
  </sheetViews>
  <sheetFormatPr defaultColWidth="9.140625" defaultRowHeight="12.75"/>
  <cols>
    <col min="1" max="16384" width="9.140625" style="65" customWidth="1"/>
  </cols>
  <sheetData>
    <row r="7" spans="2:13" ht="45.75" customHeight="1">
      <c r="B7" s="205" t="s">
        <v>243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</row>
    <row r="12" spans="6:9" ht="15.75">
      <c r="F12" s="77"/>
      <c r="G12" s="76" t="s">
        <v>226</v>
      </c>
      <c r="H12" s="76"/>
      <c r="I12" s="76"/>
    </row>
    <row r="13" spans="6:9" ht="15.75">
      <c r="F13" s="75"/>
      <c r="G13" s="206" t="s">
        <v>228</v>
      </c>
      <c r="H13" s="206"/>
      <c r="I13" s="75"/>
    </row>
    <row r="14" spans="6:9" ht="15.75">
      <c r="F14" s="75"/>
      <c r="G14" s="206" t="s">
        <v>227</v>
      </c>
      <c r="H14" s="206"/>
      <c r="I14" s="75"/>
    </row>
    <row r="18" spans="7:8" ht="12.75">
      <c r="G18" s="204" t="s">
        <v>229</v>
      </c>
      <c r="H18" s="204"/>
    </row>
  </sheetData>
  <sheetProtection password="DEA7" sheet="1" objects="1" scenarios="1" selectLockedCells="1"/>
  <mergeCells count="4">
    <mergeCell ref="G18:H18"/>
    <mergeCell ref="B7:M7"/>
    <mergeCell ref="G13:H13"/>
    <mergeCell ref="G14:H14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29"/>
  <sheetViews>
    <sheetView workbookViewId="0" topLeftCell="A1">
      <selection activeCell="A52" sqref="A52"/>
    </sheetView>
  </sheetViews>
  <sheetFormatPr defaultColWidth="9.140625" defaultRowHeight="12.75"/>
  <cols>
    <col min="1" max="1" width="20.57421875" style="0" bestFit="1" customWidth="1"/>
    <col min="2" max="2" width="12.8515625" style="0" customWidth="1"/>
    <col min="3" max="3" width="13.140625" style="0" customWidth="1"/>
  </cols>
  <sheetData>
    <row r="1" ht="12.75" customHeight="1">
      <c r="A1" s="1" t="s">
        <v>193</v>
      </c>
    </row>
    <row r="2" spans="1:3" ht="12.75">
      <c r="A2" s="43"/>
      <c r="B2" s="44" t="s">
        <v>139</v>
      </c>
      <c r="C2" s="45" t="s">
        <v>141</v>
      </c>
    </row>
    <row r="3" spans="1:3" ht="12.75">
      <c r="A3" s="43" t="s">
        <v>187</v>
      </c>
      <c r="B3" s="43">
        <v>4</v>
      </c>
      <c r="C3" s="43">
        <v>1175</v>
      </c>
    </row>
    <row r="4" spans="1:3" ht="12.75">
      <c r="A4" s="43"/>
      <c r="B4" s="43">
        <v>6</v>
      </c>
      <c r="C4" s="43">
        <v>1675</v>
      </c>
    </row>
    <row r="5" spans="1:3" ht="12.75">
      <c r="A5" s="43"/>
      <c r="B5" s="43">
        <v>8</v>
      </c>
      <c r="C5" s="43">
        <v>2275</v>
      </c>
    </row>
    <row r="6" spans="1:3" ht="12.75">
      <c r="A6" s="43"/>
      <c r="B6" s="43">
        <v>10</v>
      </c>
      <c r="C6" s="43">
        <v>3065</v>
      </c>
    </row>
    <row r="7" spans="1:3" ht="12.75">
      <c r="A7" s="43"/>
      <c r="B7" s="43">
        <v>12</v>
      </c>
      <c r="C7" s="43">
        <v>3855</v>
      </c>
    </row>
    <row r="8" spans="1:3" ht="12.75">
      <c r="A8" s="43" t="s">
        <v>188</v>
      </c>
      <c r="B8" s="43">
        <v>4</v>
      </c>
      <c r="C8" s="43">
        <v>850</v>
      </c>
    </row>
    <row r="9" spans="1:3" ht="12.75">
      <c r="A9" s="43"/>
      <c r="B9" s="43">
        <v>6</v>
      </c>
      <c r="C9" s="43">
        <v>1225</v>
      </c>
    </row>
    <row r="10" spans="1:3" ht="12.75">
      <c r="A10" s="43"/>
      <c r="B10" s="43">
        <v>8</v>
      </c>
      <c r="C10" s="43">
        <v>1675</v>
      </c>
    </row>
    <row r="11" spans="1:3" ht="12.75">
      <c r="A11" s="43"/>
      <c r="B11" s="43">
        <v>10</v>
      </c>
      <c r="C11" s="43">
        <v>2073</v>
      </c>
    </row>
    <row r="12" spans="1:3" ht="12.75">
      <c r="A12" s="43"/>
      <c r="B12" s="43">
        <v>12</v>
      </c>
      <c r="C12" s="43">
        <v>2471</v>
      </c>
    </row>
    <row r="13" spans="1:3" ht="38.25">
      <c r="A13" s="46" t="s">
        <v>186</v>
      </c>
      <c r="B13" s="43">
        <v>4</v>
      </c>
      <c r="C13" s="43">
        <v>1825</v>
      </c>
    </row>
    <row r="14" spans="1:3" ht="12.75">
      <c r="A14" s="43"/>
      <c r="B14" s="43">
        <v>6</v>
      </c>
      <c r="C14" s="43">
        <v>2525</v>
      </c>
    </row>
    <row r="15" spans="1:3" ht="12.75">
      <c r="A15" s="43"/>
      <c r="B15" s="43">
        <v>8</v>
      </c>
      <c r="C15" s="43">
        <v>3725</v>
      </c>
    </row>
    <row r="16" spans="1:3" ht="12.75">
      <c r="A16" s="43"/>
      <c r="B16" s="43">
        <v>10</v>
      </c>
      <c r="C16" s="43">
        <v>4635</v>
      </c>
    </row>
    <row r="17" spans="1:3" ht="12.75">
      <c r="A17" s="43"/>
      <c r="B17" s="43">
        <v>12</v>
      </c>
      <c r="C17" s="43">
        <v>5545</v>
      </c>
    </row>
    <row r="19" ht="12.75">
      <c r="A19" s="39" t="s">
        <v>191</v>
      </c>
    </row>
    <row r="20" ht="12.75">
      <c r="A20" s="47" t="s">
        <v>187</v>
      </c>
    </row>
    <row r="21" ht="12.75">
      <c r="A21" s="47" t="s">
        <v>188</v>
      </c>
    </row>
    <row r="22" ht="38.25">
      <c r="A22" s="48" t="s">
        <v>186</v>
      </c>
    </row>
    <row r="24" ht="12.75">
      <c r="A24" s="4" t="s">
        <v>194</v>
      </c>
    </row>
    <row r="25" ht="12.75">
      <c r="A25" s="15">
        <v>4</v>
      </c>
    </row>
    <row r="26" ht="12.75">
      <c r="A26" s="15">
        <v>6</v>
      </c>
    </row>
    <row r="27" ht="12.75">
      <c r="A27" s="15">
        <v>8</v>
      </c>
    </row>
    <row r="28" ht="12.75">
      <c r="A28" s="15">
        <v>10</v>
      </c>
    </row>
    <row r="29" ht="12.75">
      <c r="A29" s="15">
        <v>12</v>
      </c>
    </row>
  </sheetData>
  <sheetProtection password="DEA7" sheet="1" objects="1" scenarios="1" selectLockedCells="1"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52" sqref="A52"/>
    </sheetView>
  </sheetViews>
  <sheetFormatPr defaultColWidth="9.140625" defaultRowHeight="12.75"/>
  <cols>
    <col min="1" max="1" width="18.421875" style="2" bestFit="1" customWidth="1"/>
    <col min="2" max="2" width="27.8515625" style="2" bestFit="1" customWidth="1"/>
    <col min="3" max="3" width="26.140625" style="2" bestFit="1" customWidth="1"/>
    <col min="4" max="16384" width="9.140625" style="2" customWidth="1"/>
  </cols>
  <sheetData>
    <row r="1" ht="12.75">
      <c r="A1" s="6"/>
    </row>
    <row r="2" spans="1:4" ht="12.75">
      <c r="A2" s="15"/>
      <c r="B2" s="218" t="s">
        <v>518</v>
      </c>
      <c r="C2" s="219"/>
      <c r="D2" s="220"/>
    </row>
    <row r="3" spans="2:4" ht="12.75">
      <c r="B3" s="195"/>
      <c r="C3" s="196"/>
      <c r="D3" s="197" t="s">
        <v>519</v>
      </c>
    </row>
    <row r="4" spans="2:4" ht="12.75">
      <c r="B4" s="210" t="s">
        <v>505</v>
      </c>
      <c r="C4" s="198" t="s">
        <v>508</v>
      </c>
      <c r="D4" s="199">
        <v>300</v>
      </c>
    </row>
    <row r="5" spans="2:4" ht="12.75">
      <c r="B5" s="211"/>
      <c r="C5" s="200" t="s">
        <v>507</v>
      </c>
      <c r="D5" s="201">
        <v>410</v>
      </c>
    </row>
    <row r="6" spans="2:4" ht="12.75">
      <c r="B6" s="212"/>
      <c r="C6" s="202" t="s">
        <v>506</v>
      </c>
      <c r="D6" s="203">
        <v>745</v>
      </c>
    </row>
    <row r="7" spans="2:4" ht="12.75">
      <c r="B7" s="210" t="s">
        <v>509</v>
      </c>
      <c r="C7" s="198" t="s">
        <v>510</v>
      </c>
      <c r="D7" s="199">
        <v>420</v>
      </c>
    </row>
    <row r="8" spans="2:4" ht="12.75">
      <c r="B8" s="212"/>
      <c r="C8" s="202" t="s">
        <v>511</v>
      </c>
      <c r="D8" s="203">
        <v>1275</v>
      </c>
    </row>
    <row r="9" spans="2:4" ht="12.75">
      <c r="B9" s="210" t="s">
        <v>499</v>
      </c>
      <c r="C9" s="198" t="s">
        <v>512</v>
      </c>
      <c r="D9" s="199">
        <v>810</v>
      </c>
    </row>
    <row r="10" spans="2:4" ht="12.75">
      <c r="B10" s="212"/>
      <c r="C10" s="202" t="s">
        <v>513</v>
      </c>
      <c r="D10" s="203">
        <v>585</v>
      </c>
    </row>
    <row r="11" spans="2:4" ht="12.75">
      <c r="B11" s="210" t="s">
        <v>500</v>
      </c>
      <c r="C11" s="198" t="s">
        <v>514</v>
      </c>
      <c r="D11" s="199">
        <v>595</v>
      </c>
    </row>
    <row r="12" spans="2:4" ht="12.75">
      <c r="B12" s="211"/>
      <c r="C12" s="200" t="s">
        <v>515</v>
      </c>
      <c r="D12" s="201">
        <v>590</v>
      </c>
    </row>
    <row r="13" spans="2:4" ht="12.75">
      <c r="B13" s="212"/>
      <c r="C13" s="202" t="s">
        <v>516</v>
      </c>
      <c r="D13" s="203">
        <v>1100</v>
      </c>
    </row>
    <row r="14" spans="2:4" ht="12.75">
      <c r="B14" s="196"/>
      <c r="C14" s="196"/>
      <c r="D14" s="196"/>
    </row>
    <row r="15" spans="2:4" ht="12.75">
      <c r="B15" s="213" t="s">
        <v>504</v>
      </c>
      <c r="C15" s="213"/>
      <c r="D15" s="43">
        <v>470</v>
      </c>
    </row>
    <row r="16" spans="2:4" ht="12.75">
      <c r="B16" s="214" t="s">
        <v>503</v>
      </c>
      <c r="C16" s="215"/>
      <c r="D16" s="43">
        <v>700</v>
      </c>
    </row>
    <row r="17" spans="2:4" ht="12.75">
      <c r="B17" s="216" t="s">
        <v>520</v>
      </c>
      <c r="C17" s="217"/>
      <c r="D17" s="43">
        <v>1700</v>
      </c>
    </row>
  </sheetData>
  <sheetProtection selectLockedCells="1" selectUnlockedCells="1"/>
  <mergeCells count="8">
    <mergeCell ref="B2:D2"/>
    <mergeCell ref="B4:B6"/>
    <mergeCell ref="B7:B8"/>
    <mergeCell ref="B9:B10"/>
    <mergeCell ref="B11:B13"/>
    <mergeCell ref="B15:C15"/>
    <mergeCell ref="B16:C16"/>
    <mergeCell ref="B17:C1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I24"/>
  <sheetViews>
    <sheetView workbookViewId="0" topLeftCell="A1">
      <selection activeCell="A52" sqref="A52"/>
    </sheetView>
  </sheetViews>
  <sheetFormatPr defaultColWidth="9.140625" defaultRowHeight="12.75"/>
  <cols>
    <col min="1" max="1" width="16.00390625" style="0" bestFit="1" customWidth="1"/>
    <col min="2" max="2" width="31.140625" style="0" bestFit="1" customWidth="1"/>
    <col min="6" max="6" width="11.57421875" style="0" bestFit="1" customWidth="1"/>
    <col min="7" max="7" width="10.8515625" style="0" bestFit="1" customWidth="1"/>
    <col min="8" max="8" width="16.00390625" style="0" bestFit="1" customWidth="1"/>
  </cols>
  <sheetData>
    <row r="1" ht="12.75">
      <c r="A1" s="39" t="s">
        <v>199</v>
      </c>
    </row>
    <row r="2" spans="1:3" ht="12.75">
      <c r="A2" s="39" t="s">
        <v>200</v>
      </c>
      <c r="B2" s="35" t="s">
        <v>201</v>
      </c>
      <c r="C2" s="15" t="s">
        <v>202</v>
      </c>
    </row>
    <row r="3" spans="1:3" ht="12.75">
      <c r="A3" s="15" t="s">
        <v>203</v>
      </c>
      <c r="B3" s="35" t="s">
        <v>204</v>
      </c>
      <c r="C3" s="15">
        <v>22.5</v>
      </c>
    </row>
    <row r="4" spans="1:3" ht="12.75">
      <c r="A4" s="15" t="s">
        <v>205</v>
      </c>
      <c r="B4" s="35" t="s">
        <v>204</v>
      </c>
      <c r="C4" s="15">
        <v>24.5</v>
      </c>
    </row>
    <row r="5" spans="1:3" ht="12.75">
      <c r="A5" s="35"/>
      <c r="B5" s="35"/>
      <c r="C5" s="15"/>
    </row>
    <row r="6" spans="1:3" ht="12.75">
      <c r="A6" s="39" t="s">
        <v>206</v>
      </c>
      <c r="B6" s="35"/>
      <c r="C6" s="15"/>
    </row>
    <row r="7" spans="1:8" ht="12.75">
      <c r="A7" s="15" t="s">
        <v>203</v>
      </c>
      <c r="B7" s="35"/>
      <c r="C7" s="15"/>
      <c r="F7" s="39" t="s">
        <v>200</v>
      </c>
      <c r="G7" s="39" t="s">
        <v>206</v>
      </c>
      <c r="H7" s="39" t="s">
        <v>210</v>
      </c>
    </row>
    <row r="8" spans="1:9" ht="12.75">
      <c r="A8" s="35" t="s">
        <v>207</v>
      </c>
      <c r="B8" s="35"/>
      <c r="C8" s="15">
        <v>10.45</v>
      </c>
      <c r="E8" s="15" t="s">
        <v>203</v>
      </c>
      <c r="F8" s="15">
        <v>22.5</v>
      </c>
      <c r="G8" s="15">
        <v>10.45</v>
      </c>
      <c r="H8" s="15">
        <v>8.25</v>
      </c>
      <c r="I8" s="35" t="s">
        <v>207</v>
      </c>
    </row>
    <row r="9" spans="1:9" ht="12.75">
      <c r="A9" s="35" t="s">
        <v>208</v>
      </c>
      <c r="B9" s="35"/>
      <c r="C9" s="15">
        <v>15.3</v>
      </c>
      <c r="E9" s="15" t="s">
        <v>203</v>
      </c>
      <c r="F9" s="33" t="s">
        <v>214</v>
      </c>
      <c r="G9" s="15">
        <v>15.3</v>
      </c>
      <c r="H9" s="15">
        <v>10</v>
      </c>
      <c r="I9" s="35" t="s">
        <v>208</v>
      </c>
    </row>
    <row r="10" spans="1:9" ht="12.75">
      <c r="A10" s="15" t="s">
        <v>209</v>
      </c>
      <c r="B10" s="35"/>
      <c r="C10" s="15"/>
      <c r="E10" s="49"/>
      <c r="F10" s="34"/>
      <c r="G10" s="49"/>
      <c r="H10" s="49"/>
      <c r="I10" s="50"/>
    </row>
    <row r="11" spans="1:9" ht="12.75">
      <c r="A11" s="35" t="s">
        <v>207</v>
      </c>
      <c r="B11" s="35"/>
      <c r="C11" s="15">
        <v>11.85</v>
      </c>
      <c r="E11" s="15" t="s">
        <v>205</v>
      </c>
      <c r="F11" s="15">
        <v>24.5</v>
      </c>
      <c r="G11" s="15">
        <v>11.85</v>
      </c>
      <c r="H11" s="15">
        <v>9.65</v>
      </c>
      <c r="I11" s="35" t="s">
        <v>207</v>
      </c>
    </row>
    <row r="12" spans="1:9" ht="12.75">
      <c r="A12" s="35" t="s">
        <v>208</v>
      </c>
      <c r="B12" s="35"/>
      <c r="C12" s="15">
        <v>16.7</v>
      </c>
      <c r="E12" s="15" t="s">
        <v>205</v>
      </c>
      <c r="F12" s="33" t="s">
        <v>214</v>
      </c>
      <c r="G12" s="15">
        <v>16.7</v>
      </c>
      <c r="H12" s="15">
        <v>11.4</v>
      </c>
      <c r="I12" s="35" t="s">
        <v>208</v>
      </c>
    </row>
    <row r="13" spans="1:3" ht="12.75">
      <c r="A13" s="35"/>
      <c r="B13" s="35"/>
      <c r="C13" s="15"/>
    </row>
    <row r="14" spans="1:3" ht="12.75">
      <c r="A14" s="39" t="s">
        <v>210</v>
      </c>
      <c r="B14" s="35"/>
      <c r="C14" s="15"/>
    </row>
    <row r="15" spans="1:5" ht="12.75">
      <c r="A15" s="15" t="s">
        <v>203</v>
      </c>
      <c r="B15" s="35"/>
      <c r="C15" s="15"/>
      <c r="E15" t="s">
        <v>218</v>
      </c>
    </row>
    <row r="16" spans="1:5" ht="12.75">
      <c r="A16" s="35" t="s">
        <v>207</v>
      </c>
      <c r="B16" s="35"/>
      <c r="C16" s="15">
        <v>8.25</v>
      </c>
      <c r="E16" t="s">
        <v>219</v>
      </c>
    </row>
    <row r="17" spans="1:3" ht="12.75">
      <c r="A17" s="35" t="s">
        <v>208</v>
      </c>
      <c r="B17" s="35"/>
      <c r="C17" s="15">
        <v>10</v>
      </c>
    </row>
    <row r="18" spans="1:3" ht="12.75">
      <c r="A18" s="15" t="s">
        <v>209</v>
      </c>
      <c r="B18" s="35"/>
      <c r="C18" s="15"/>
    </row>
    <row r="19" spans="1:3" ht="12.75">
      <c r="A19" s="35" t="s">
        <v>207</v>
      </c>
      <c r="B19" s="35"/>
      <c r="C19" s="15">
        <v>9.65</v>
      </c>
    </row>
    <row r="20" spans="1:3" ht="12.75">
      <c r="A20" s="35" t="s">
        <v>208</v>
      </c>
      <c r="B20" s="35"/>
      <c r="C20" s="15">
        <v>11.4</v>
      </c>
    </row>
    <row r="21" spans="1:3" ht="12.75">
      <c r="A21" s="35"/>
      <c r="B21" s="35"/>
      <c r="C21" s="15"/>
    </row>
    <row r="22" spans="1:3" ht="12.75">
      <c r="A22" s="39" t="s">
        <v>211</v>
      </c>
      <c r="B22" s="35"/>
      <c r="C22" s="15"/>
    </row>
    <row r="23" spans="1:3" ht="12.75">
      <c r="A23" s="35" t="s">
        <v>207</v>
      </c>
      <c r="B23" s="35"/>
      <c r="C23" s="15">
        <v>13.75</v>
      </c>
    </row>
    <row r="24" spans="1:3" ht="12.75">
      <c r="A24" s="35" t="s">
        <v>208</v>
      </c>
      <c r="B24" s="35"/>
      <c r="C24" s="15">
        <v>21</v>
      </c>
    </row>
  </sheetData>
  <sheetProtection password="DEA7"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Z144"/>
  <sheetViews>
    <sheetView zoomScale="85" zoomScaleNormal="85" workbookViewId="0" topLeftCell="A1">
      <selection activeCell="A47" sqref="A47"/>
    </sheetView>
  </sheetViews>
  <sheetFormatPr defaultColWidth="9.140625" defaultRowHeight="12.75"/>
  <cols>
    <col min="1" max="1" width="39.140625" style="87" customWidth="1"/>
    <col min="2" max="2" width="25.57421875" style="63" customWidth="1"/>
    <col min="3" max="5" width="25.57421875" style="87" customWidth="1"/>
    <col min="6" max="6" width="25.421875" style="87" customWidth="1"/>
    <col min="7" max="7" width="25.7109375" style="87" customWidth="1"/>
    <col min="8" max="13" width="25.57421875" style="87" customWidth="1"/>
    <col min="14" max="14" width="25.7109375" style="87" customWidth="1"/>
    <col min="15" max="16" width="25.57421875" style="87" customWidth="1"/>
    <col min="17" max="17" width="25.7109375" style="87" customWidth="1"/>
    <col min="18" max="18" width="25.57421875" style="87" customWidth="1"/>
    <col min="19" max="19" width="25.7109375" style="87" customWidth="1"/>
    <col min="20" max="24" width="25.57421875" style="87" customWidth="1"/>
    <col min="25" max="25" width="25.7109375" style="87" customWidth="1"/>
    <col min="26" max="28" width="25.57421875" style="87" customWidth="1"/>
    <col min="29" max="29" width="25.7109375" style="87" customWidth="1"/>
    <col min="30" max="35" width="25.57421875" style="87" customWidth="1"/>
    <col min="36" max="37" width="25.7109375" style="87" customWidth="1"/>
    <col min="38" max="40" width="25.57421875" style="87" customWidth="1"/>
    <col min="41" max="41" width="25.7109375" style="87" customWidth="1"/>
    <col min="42" max="42" width="25.57421875" style="87" customWidth="1"/>
    <col min="43" max="43" width="25.7109375" style="87" customWidth="1"/>
    <col min="44" max="44" width="25.57421875" style="87" customWidth="1"/>
    <col min="45" max="45" width="25.7109375" style="87" customWidth="1"/>
    <col min="46" max="46" width="25.57421875" style="87" customWidth="1"/>
    <col min="47" max="47" width="25.7109375" style="87" customWidth="1"/>
    <col min="48" max="48" width="25.57421875" style="87" customWidth="1"/>
    <col min="49" max="49" width="25.7109375" style="87" customWidth="1"/>
    <col min="50" max="50" width="25.57421875" style="87" customWidth="1"/>
    <col min="51" max="51" width="25.7109375" style="87" customWidth="1"/>
    <col min="52" max="53" width="25.57421875" style="87" customWidth="1"/>
    <col min="54" max="54" width="25.7109375" style="87" customWidth="1"/>
    <col min="55" max="55" width="25.57421875" style="87" customWidth="1"/>
    <col min="56" max="56" width="26.00390625" style="87" customWidth="1"/>
    <col min="57" max="57" width="25.7109375" style="87" customWidth="1"/>
    <col min="58" max="60" width="25.8515625" style="87" customWidth="1"/>
    <col min="61" max="61" width="26.00390625" style="87" customWidth="1"/>
    <col min="62" max="62" width="26.140625" style="87" customWidth="1"/>
    <col min="63" max="64" width="26.00390625" style="87" customWidth="1"/>
    <col min="65" max="67" width="26.140625" style="87" customWidth="1"/>
    <col min="68" max="68" width="26.00390625" style="87" customWidth="1"/>
    <col min="69" max="69" width="26.140625" style="87" customWidth="1"/>
    <col min="70" max="71" width="26.00390625" style="87" customWidth="1"/>
    <col min="72" max="73" width="26.140625" style="87" customWidth="1"/>
    <col min="74" max="74" width="26.00390625" style="87" customWidth="1"/>
    <col min="75" max="75" width="26.140625" style="87" customWidth="1"/>
    <col min="76" max="76" width="26.00390625" style="87" customWidth="1"/>
    <col min="77" max="77" width="25.8515625" style="87" customWidth="1"/>
    <col min="78" max="78" width="26.00390625" style="87" customWidth="1"/>
    <col min="79" max="79" width="25.7109375" style="87" customWidth="1"/>
    <col min="80" max="80" width="25.8515625" style="87" customWidth="1"/>
    <col min="81" max="84" width="26.00390625" style="87" customWidth="1"/>
    <col min="85" max="85" width="25.8515625" style="87" customWidth="1"/>
    <col min="86" max="86" width="26.00390625" style="87" customWidth="1"/>
    <col min="87" max="87" width="25.8515625" style="87" customWidth="1"/>
    <col min="88" max="89" width="26.00390625" style="87" customWidth="1"/>
    <col min="90" max="90" width="26.140625" style="87" customWidth="1"/>
    <col min="91" max="93" width="25.8515625" style="87" customWidth="1"/>
    <col min="94" max="94" width="26.00390625" style="87" customWidth="1"/>
    <col min="95" max="96" width="25.8515625" style="87" customWidth="1"/>
    <col min="97" max="97" width="26.00390625" style="87" customWidth="1"/>
    <col min="98" max="99" width="25.8515625" style="87" customWidth="1"/>
    <col min="100" max="101" width="26.00390625" style="87" customWidth="1"/>
    <col min="102" max="102" width="18.140625" style="87" customWidth="1"/>
    <col min="103" max="103" width="18.57421875" style="87" customWidth="1"/>
    <col min="104" max="104" width="18.140625" style="87" customWidth="1"/>
    <col min="105" max="16384" width="9.140625" style="87" customWidth="1"/>
  </cols>
  <sheetData>
    <row r="1" spans="1:104" ht="15" customHeight="1">
      <c r="A1" s="85" t="s">
        <v>9</v>
      </c>
      <c r="B1" s="85" t="s">
        <v>7</v>
      </c>
      <c r="C1" s="86" t="s">
        <v>8</v>
      </c>
      <c r="D1" s="86" t="s">
        <v>10</v>
      </c>
      <c r="E1" s="86" t="s">
        <v>62</v>
      </c>
      <c r="F1" s="86" t="s">
        <v>63</v>
      </c>
      <c r="G1" s="86" t="s">
        <v>64</v>
      </c>
      <c r="H1" s="86" t="s">
        <v>65</v>
      </c>
      <c r="I1" s="86" t="s">
        <v>66</v>
      </c>
      <c r="J1" s="86" t="s">
        <v>67</v>
      </c>
      <c r="K1" s="86" t="s">
        <v>68</v>
      </c>
      <c r="L1" s="86" t="s">
        <v>69</v>
      </c>
      <c r="M1" s="86" t="s">
        <v>70</v>
      </c>
      <c r="N1" s="86" t="s">
        <v>71</v>
      </c>
      <c r="O1" s="86" t="s">
        <v>72</v>
      </c>
      <c r="P1" s="86" t="s">
        <v>73</v>
      </c>
      <c r="Q1" s="86" t="s">
        <v>74</v>
      </c>
      <c r="R1" s="86" t="s">
        <v>75</v>
      </c>
      <c r="S1" s="86" t="s">
        <v>76</v>
      </c>
      <c r="T1" s="86" t="s">
        <v>77</v>
      </c>
      <c r="U1" s="86" t="s">
        <v>78</v>
      </c>
      <c r="V1" s="86" t="s">
        <v>249</v>
      </c>
      <c r="W1" s="86" t="s">
        <v>250</v>
      </c>
      <c r="X1" s="86" t="s">
        <v>251</v>
      </c>
      <c r="Y1" s="86" t="s">
        <v>252</v>
      </c>
      <c r="Z1" s="86" t="s">
        <v>253</v>
      </c>
      <c r="AA1" s="86" t="s">
        <v>254</v>
      </c>
      <c r="AB1" s="86" t="s">
        <v>255</v>
      </c>
      <c r="AC1" s="86" t="s">
        <v>256</v>
      </c>
      <c r="AD1" s="86" t="s">
        <v>257</v>
      </c>
      <c r="AE1" s="86" t="s">
        <v>258</v>
      </c>
      <c r="AF1" s="86" t="s">
        <v>259</v>
      </c>
      <c r="AG1" s="86" t="s">
        <v>260</v>
      </c>
      <c r="AH1" s="86" t="s">
        <v>261</v>
      </c>
      <c r="AI1" s="86" t="s">
        <v>262</v>
      </c>
      <c r="AJ1" s="86" t="s">
        <v>263</v>
      </c>
      <c r="AK1" s="86" t="s">
        <v>264</v>
      </c>
      <c r="AL1" s="86" t="s">
        <v>265</v>
      </c>
      <c r="AM1" s="86" t="s">
        <v>266</v>
      </c>
      <c r="AN1" s="86" t="s">
        <v>267</v>
      </c>
      <c r="AO1" s="86" t="s">
        <v>268</v>
      </c>
      <c r="AP1" s="86" t="s">
        <v>269</v>
      </c>
      <c r="AQ1" s="86" t="s">
        <v>270</v>
      </c>
      <c r="AR1" s="86" t="s">
        <v>271</v>
      </c>
      <c r="AS1" s="86" t="s">
        <v>272</v>
      </c>
      <c r="AT1" s="86" t="s">
        <v>273</v>
      </c>
      <c r="AU1" s="86" t="s">
        <v>274</v>
      </c>
      <c r="AV1" s="86" t="s">
        <v>275</v>
      </c>
      <c r="AW1" s="86" t="s">
        <v>276</v>
      </c>
      <c r="AX1" s="86" t="s">
        <v>277</v>
      </c>
      <c r="AY1" s="86" t="s">
        <v>278</v>
      </c>
      <c r="AZ1" s="86" t="s">
        <v>279</v>
      </c>
      <c r="BA1" s="86" t="s">
        <v>280</v>
      </c>
      <c r="BB1" s="86" t="s">
        <v>281</v>
      </c>
      <c r="BC1" s="86" t="s">
        <v>282</v>
      </c>
      <c r="BD1" s="86" t="s">
        <v>283</v>
      </c>
      <c r="BE1" s="86" t="s">
        <v>284</v>
      </c>
      <c r="BF1" s="86" t="s">
        <v>285</v>
      </c>
      <c r="BG1" s="86" t="s">
        <v>286</v>
      </c>
      <c r="BH1" s="86" t="s">
        <v>287</v>
      </c>
      <c r="BI1" s="86" t="s">
        <v>288</v>
      </c>
      <c r="BJ1" s="86" t="s">
        <v>289</v>
      </c>
      <c r="BK1" s="86" t="s">
        <v>290</v>
      </c>
      <c r="BL1" s="86" t="s">
        <v>291</v>
      </c>
      <c r="BM1" s="86" t="s">
        <v>292</v>
      </c>
      <c r="BN1" s="86" t="s">
        <v>293</v>
      </c>
      <c r="BO1" s="86" t="s">
        <v>294</v>
      </c>
      <c r="BP1" s="86" t="s">
        <v>295</v>
      </c>
      <c r="BQ1" s="86" t="s">
        <v>296</v>
      </c>
      <c r="BR1" s="86" t="s">
        <v>298</v>
      </c>
      <c r="BS1" s="86" t="s">
        <v>299</v>
      </c>
      <c r="BT1" s="86" t="s">
        <v>297</v>
      </c>
      <c r="BU1" s="86" t="s">
        <v>300</v>
      </c>
      <c r="BV1" s="86" t="s">
        <v>301</v>
      </c>
      <c r="BW1" s="86" t="s">
        <v>302</v>
      </c>
      <c r="BX1" s="86" t="s">
        <v>303</v>
      </c>
      <c r="BY1" s="86" t="s">
        <v>304</v>
      </c>
      <c r="BZ1" s="86" t="s">
        <v>305</v>
      </c>
      <c r="CA1" s="86" t="s">
        <v>306</v>
      </c>
      <c r="CB1" s="86" t="s">
        <v>307</v>
      </c>
      <c r="CC1" s="86" t="s">
        <v>308</v>
      </c>
      <c r="CD1" s="86" t="s">
        <v>309</v>
      </c>
      <c r="CE1" s="86" t="s">
        <v>310</v>
      </c>
      <c r="CF1" s="86" t="s">
        <v>311</v>
      </c>
      <c r="CG1" s="86" t="s">
        <v>312</v>
      </c>
      <c r="CH1" s="86" t="s">
        <v>313</v>
      </c>
      <c r="CI1" s="86" t="s">
        <v>314</v>
      </c>
      <c r="CJ1" s="86" t="s">
        <v>315</v>
      </c>
      <c r="CK1" s="86" t="s">
        <v>316</v>
      </c>
      <c r="CL1" s="86" t="s">
        <v>317</v>
      </c>
      <c r="CM1" s="86" t="s">
        <v>318</v>
      </c>
      <c r="CN1" s="86" t="s">
        <v>319</v>
      </c>
      <c r="CO1" s="86" t="s">
        <v>320</v>
      </c>
      <c r="CP1" s="86" t="s">
        <v>321</v>
      </c>
      <c r="CQ1" s="86" t="s">
        <v>322</v>
      </c>
      <c r="CR1" s="86" t="s">
        <v>323</v>
      </c>
      <c r="CS1" s="86" t="s">
        <v>324</v>
      </c>
      <c r="CT1" s="86" t="s">
        <v>325</v>
      </c>
      <c r="CU1" s="86" t="s">
        <v>326</v>
      </c>
      <c r="CV1" s="86" t="s">
        <v>327</v>
      </c>
      <c r="CW1" s="86" t="s">
        <v>328</v>
      </c>
      <c r="CX1" s="86"/>
      <c r="CY1" s="86"/>
      <c r="CZ1" s="86"/>
    </row>
    <row r="2" spans="1:104" ht="16.5" customHeight="1">
      <c r="A2" s="88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</row>
    <row r="3" spans="1:104" ht="16.5" customHeight="1">
      <c r="A3" s="90" t="s">
        <v>0</v>
      </c>
      <c r="B3" s="54">
        <v>1</v>
      </c>
      <c r="C3" s="54">
        <v>1</v>
      </c>
      <c r="D3" s="54">
        <v>1</v>
      </c>
      <c r="E3" s="54">
        <v>1</v>
      </c>
      <c r="F3" s="54">
        <v>1</v>
      </c>
      <c r="G3" s="54">
        <v>1</v>
      </c>
      <c r="H3" s="54">
        <v>1</v>
      </c>
      <c r="I3" s="55">
        <v>1</v>
      </c>
      <c r="J3" s="54">
        <v>1</v>
      </c>
      <c r="K3" s="55">
        <v>1</v>
      </c>
      <c r="L3" s="54">
        <v>1</v>
      </c>
      <c r="M3" s="55">
        <v>1</v>
      </c>
      <c r="N3" s="54">
        <v>1</v>
      </c>
      <c r="O3" s="55">
        <v>1</v>
      </c>
      <c r="P3" s="55">
        <v>1</v>
      </c>
      <c r="Q3" s="55">
        <v>1</v>
      </c>
      <c r="R3" s="55">
        <v>1</v>
      </c>
      <c r="S3" s="55">
        <v>1</v>
      </c>
      <c r="T3" s="55">
        <v>1</v>
      </c>
      <c r="U3" s="55">
        <v>1</v>
      </c>
      <c r="V3" s="55">
        <v>1</v>
      </c>
      <c r="W3" s="55">
        <v>1</v>
      </c>
      <c r="X3" s="55">
        <v>1</v>
      </c>
      <c r="Y3" s="55">
        <v>1</v>
      </c>
      <c r="Z3" s="55">
        <v>1</v>
      </c>
      <c r="AA3" s="55">
        <v>1</v>
      </c>
      <c r="AB3" s="55">
        <v>1</v>
      </c>
      <c r="AC3" s="55">
        <v>1</v>
      </c>
      <c r="AD3" s="55">
        <v>1</v>
      </c>
      <c r="AE3" s="55">
        <v>1</v>
      </c>
      <c r="AF3" s="55">
        <v>1</v>
      </c>
      <c r="AG3" s="55">
        <v>1</v>
      </c>
      <c r="AH3" s="55">
        <v>1</v>
      </c>
      <c r="AI3" s="55">
        <v>1</v>
      </c>
      <c r="AJ3" s="55">
        <v>1</v>
      </c>
      <c r="AK3" s="55">
        <v>1</v>
      </c>
      <c r="AL3" s="55">
        <v>1</v>
      </c>
      <c r="AM3" s="55">
        <v>1</v>
      </c>
      <c r="AN3" s="55">
        <v>1</v>
      </c>
      <c r="AO3" s="55">
        <v>1</v>
      </c>
      <c r="AP3" s="55">
        <v>1</v>
      </c>
      <c r="AQ3" s="55">
        <v>1</v>
      </c>
      <c r="AR3" s="55">
        <v>1</v>
      </c>
      <c r="AS3" s="55">
        <v>1</v>
      </c>
      <c r="AT3" s="55">
        <v>1</v>
      </c>
      <c r="AU3" s="55">
        <v>1</v>
      </c>
      <c r="AV3" s="55">
        <v>1</v>
      </c>
      <c r="AW3" s="55">
        <v>1</v>
      </c>
      <c r="AX3" s="55">
        <v>1</v>
      </c>
      <c r="AY3" s="55">
        <v>1</v>
      </c>
      <c r="AZ3" s="55">
        <v>1</v>
      </c>
      <c r="BA3" s="55">
        <v>1</v>
      </c>
      <c r="BB3" s="55">
        <v>1</v>
      </c>
      <c r="BC3" s="55">
        <v>1</v>
      </c>
      <c r="BD3" s="55">
        <v>1</v>
      </c>
      <c r="BE3" s="55">
        <v>1</v>
      </c>
      <c r="BF3" s="55">
        <v>1</v>
      </c>
      <c r="BG3" s="55">
        <v>1</v>
      </c>
      <c r="BH3" s="55">
        <v>1</v>
      </c>
      <c r="BI3" s="55">
        <v>1</v>
      </c>
      <c r="BJ3" s="55">
        <v>1</v>
      </c>
      <c r="BK3" s="55">
        <v>1</v>
      </c>
      <c r="BL3" s="55">
        <v>1</v>
      </c>
      <c r="BM3" s="55">
        <v>1</v>
      </c>
      <c r="BN3" s="55">
        <v>1</v>
      </c>
      <c r="BO3" s="55">
        <v>1</v>
      </c>
      <c r="BP3" s="55">
        <v>1</v>
      </c>
      <c r="BQ3" s="55">
        <v>1</v>
      </c>
      <c r="BR3" s="55">
        <v>1</v>
      </c>
      <c r="BS3" s="55">
        <v>1</v>
      </c>
      <c r="BT3" s="55">
        <v>1</v>
      </c>
      <c r="BU3" s="55">
        <v>1</v>
      </c>
      <c r="BV3" s="55">
        <v>1</v>
      </c>
      <c r="BW3" s="55">
        <v>1</v>
      </c>
      <c r="BX3" s="55">
        <v>1</v>
      </c>
      <c r="BY3" s="55">
        <v>1</v>
      </c>
      <c r="BZ3" s="55">
        <v>1</v>
      </c>
      <c r="CA3" s="55">
        <v>1</v>
      </c>
      <c r="CB3" s="55">
        <v>1</v>
      </c>
      <c r="CC3" s="55">
        <v>1</v>
      </c>
      <c r="CD3" s="55">
        <v>1</v>
      </c>
      <c r="CE3" s="55">
        <v>1</v>
      </c>
      <c r="CF3" s="55">
        <v>1</v>
      </c>
      <c r="CG3" s="55">
        <v>1</v>
      </c>
      <c r="CH3" s="55">
        <v>1</v>
      </c>
      <c r="CI3" s="55">
        <v>1</v>
      </c>
      <c r="CJ3" s="55">
        <v>1</v>
      </c>
      <c r="CK3" s="55">
        <v>1</v>
      </c>
      <c r="CL3" s="55">
        <v>1</v>
      </c>
      <c r="CM3" s="55">
        <v>1</v>
      </c>
      <c r="CN3" s="55">
        <v>1</v>
      </c>
      <c r="CO3" s="55">
        <v>1</v>
      </c>
      <c r="CP3" s="55">
        <v>1</v>
      </c>
      <c r="CQ3" s="55">
        <v>1</v>
      </c>
      <c r="CR3" s="55">
        <v>1</v>
      </c>
      <c r="CS3" s="55">
        <v>1</v>
      </c>
      <c r="CT3" s="55">
        <v>1</v>
      </c>
      <c r="CU3" s="55">
        <v>1</v>
      </c>
      <c r="CV3" s="55">
        <v>1</v>
      </c>
      <c r="CW3" s="55">
        <v>1</v>
      </c>
      <c r="CX3" s="127"/>
      <c r="CY3" s="109"/>
      <c r="CZ3" s="109"/>
    </row>
    <row r="4" spans="1:104" s="95" customFormat="1" ht="16.5" customHeight="1">
      <c r="A4" s="91" t="s">
        <v>1</v>
      </c>
      <c r="B4" s="52">
        <v>1</v>
      </c>
      <c r="C4" s="52">
        <v>1</v>
      </c>
      <c r="D4" s="52">
        <v>1</v>
      </c>
      <c r="E4" s="52">
        <v>1</v>
      </c>
      <c r="F4" s="52">
        <v>1</v>
      </c>
      <c r="G4" s="52">
        <v>1</v>
      </c>
      <c r="H4" s="52">
        <v>1</v>
      </c>
      <c r="I4" s="52">
        <v>1</v>
      </c>
      <c r="J4" s="52">
        <v>1</v>
      </c>
      <c r="K4" s="52">
        <v>1</v>
      </c>
      <c r="L4" s="52">
        <v>1</v>
      </c>
      <c r="M4" s="52">
        <v>1</v>
      </c>
      <c r="N4" s="52">
        <v>1</v>
      </c>
      <c r="O4" s="52">
        <v>1</v>
      </c>
      <c r="P4" s="52">
        <v>1</v>
      </c>
      <c r="Q4" s="52">
        <v>1</v>
      </c>
      <c r="R4" s="52">
        <v>1</v>
      </c>
      <c r="S4" s="52">
        <v>1</v>
      </c>
      <c r="T4" s="52">
        <v>1</v>
      </c>
      <c r="U4" s="52">
        <v>1</v>
      </c>
      <c r="V4" s="52">
        <v>1</v>
      </c>
      <c r="W4" s="52">
        <v>1</v>
      </c>
      <c r="X4" s="52">
        <v>1</v>
      </c>
      <c r="Y4" s="52">
        <v>1</v>
      </c>
      <c r="Z4" s="52">
        <v>1</v>
      </c>
      <c r="AA4" s="52">
        <v>1</v>
      </c>
      <c r="AB4" s="52">
        <v>1</v>
      </c>
      <c r="AC4" s="52">
        <v>1</v>
      </c>
      <c r="AD4" s="52">
        <v>1</v>
      </c>
      <c r="AE4" s="52">
        <v>1</v>
      </c>
      <c r="AF4" s="52">
        <v>1</v>
      </c>
      <c r="AG4" s="52">
        <v>1</v>
      </c>
      <c r="AH4" s="52">
        <v>1</v>
      </c>
      <c r="AI4" s="52">
        <v>1</v>
      </c>
      <c r="AJ4" s="52">
        <v>1</v>
      </c>
      <c r="AK4" s="52">
        <v>1</v>
      </c>
      <c r="AL4" s="52">
        <v>1</v>
      </c>
      <c r="AM4" s="52">
        <v>1</v>
      </c>
      <c r="AN4" s="52">
        <v>1</v>
      </c>
      <c r="AO4" s="52">
        <v>1</v>
      </c>
      <c r="AP4" s="52">
        <v>1</v>
      </c>
      <c r="AQ4" s="52">
        <v>1</v>
      </c>
      <c r="AR4" s="52">
        <v>1</v>
      </c>
      <c r="AS4" s="52">
        <v>1</v>
      </c>
      <c r="AT4" s="52">
        <v>1</v>
      </c>
      <c r="AU4" s="52">
        <v>1</v>
      </c>
      <c r="AV4" s="52">
        <v>1</v>
      </c>
      <c r="AW4" s="52">
        <v>1</v>
      </c>
      <c r="AX4" s="52">
        <v>1</v>
      </c>
      <c r="AY4" s="52">
        <v>1</v>
      </c>
      <c r="AZ4" s="52">
        <v>1</v>
      </c>
      <c r="BA4" s="52">
        <v>1</v>
      </c>
      <c r="BB4" s="52">
        <v>1</v>
      </c>
      <c r="BC4" s="52">
        <v>1</v>
      </c>
      <c r="BD4" s="52">
        <v>1</v>
      </c>
      <c r="BE4" s="52">
        <v>1</v>
      </c>
      <c r="BF4" s="52">
        <v>1</v>
      </c>
      <c r="BG4" s="52">
        <v>1</v>
      </c>
      <c r="BH4" s="52">
        <v>1</v>
      </c>
      <c r="BI4" s="52">
        <v>1</v>
      </c>
      <c r="BJ4" s="52">
        <v>1</v>
      </c>
      <c r="BK4" s="52">
        <v>1</v>
      </c>
      <c r="BL4" s="52">
        <v>1</v>
      </c>
      <c r="BM4" s="52">
        <v>1</v>
      </c>
      <c r="BN4" s="52">
        <v>1</v>
      </c>
      <c r="BO4" s="52">
        <v>1</v>
      </c>
      <c r="BP4" s="52">
        <v>1</v>
      </c>
      <c r="BQ4" s="52">
        <v>1</v>
      </c>
      <c r="BR4" s="52">
        <v>1</v>
      </c>
      <c r="BS4" s="52">
        <v>1</v>
      </c>
      <c r="BT4" s="52">
        <v>1</v>
      </c>
      <c r="BU4" s="52">
        <v>1</v>
      </c>
      <c r="BV4" s="52">
        <v>1</v>
      </c>
      <c r="BW4" s="52">
        <v>1</v>
      </c>
      <c r="BX4" s="52">
        <v>1</v>
      </c>
      <c r="BY4" s="52">
        <v>1</v>
      </c>
      <c r="BZ4" s="52">
        <v>1</v>
      </c>
      <c r="CA4" s="52">
        <v>1</v>
      </c>
      <c r="CB4" s="52">
        <v>1</v>
      </c>
      <c r="CC4" s="52">
        <v>1</v>
      </c>
      <c r="CD4" s="52">
        <v>1</v>
      </c>
      <c r="CE4" s="52">
        <v>1</v>
      </c>
      <c r="CF4" s="52">
        <v>1</v>
      </c>
      <c r="CG4" s="52">
        <v>1</v>
      </c>
      <c r="CH4" s="52">
        <v>1</v>
      </c>
      <c r="CI4" s="52">
        <v>1</v>
      </c>
      <c r="CJ4" s="52">
        <v>1</v>
      </c>
      <c r="CK4" s="52">
        <v>1</v>
      </c>
      <c r="CL4" s="52">
        <v>1</v>
      </c>
      <c r="CM4" s="52">
        <v>1</v>
      </c>
      <c r="CN4" s="52">
        <v>1</v>
      </c>
      <c r="CO4" s="52">
        <v>1</v>
      </c>
      <c r="CP4" s="52">
        <v>1</v>
      </c>
      <c r="CQ4" s="52">
        <v>1</v>
      </c>
      <c r="CR4" s="52">
        <v>1</v>
      </c>
      <c r="CS4" s="52">
        <v>1</v>
      </c>
      <c r="CT4" s="52">
        <v>1</v>
      </c>
      <c r="CU4" s="52">
        <v>1</v>
      </c>
      <c r="CV4" s="52">
        <v>1</v>
      </c>
      <c r="CW4" s="52">
        <v>1</v>
      </c>
      <c r="CX4" s="127"/>
      <c r="CY4" s="109"/>
      <c r="CZ4" s="109"/>
    </row>
    <row r="5" spans="1:104" ht="15.75" customHeight="1">
      <c r="A5" s="90" t="s">
        <v>59</v>
      </c>
      <c r="B5" s="81">
        <f>(1.4585*B$113)+14.505</f>
        <v>26.173000000000002</v>
      </c>
      <c r="C5" s="81">
        <f aca="true" t="shared" si="0" ref="C5:BN5">(1.4585*C$113)+14.505</f>
        <v>26.173000000000002</v>
      </c>
      <c r="D5" s="81">
        <f t="shared" si="0"/>
        <v>26.173000000000002</v>
      </c>
      <c r="E5" s="81">
        <f t="shared" si="0"/>
        <v>26.173000000000002</v>
      </c>
      <c r="F5" s="81">
        <f t="shared" si="0"/>
        <v>26.173000000000002</v>
      </c>
      <c r="G5" s="81">
        <f t="shared" si="0"/>
        <v>26.173000000000002</v>
      </c>
      <c r="H5" s="81">
        <f t="shared" si="0"/>
        <v>26.173000000000002</v>
      </c>
      <c r="I5" s="81">
        <f t="shared" si="0"/>
        <v>26.173000000000002</v>
      </c>
      <c r="J5" s="81">
        <f t="shared" si="0"/>
        <v>26.173000000000002</v>
      </c>
      <c r="K5" s="81">
        <f t="shared" si="0"/>
        <v>26.173000000000002</v>
      </c>
      <c r="L5" s="81">
        <f t="shared" si="0"/>
        <v>26.173000000000002</v>
      </c>
      <c r="M5" s="81">
        <f t="shared" si="0"/>
        <v>26.173000000000002</v>
      </c>
      <c r="N5" s="81">
        <f t="shared" si="0"/>
        <v>26.173000000000002</v>
      </c>
      <c r="O5" s="81">
        <f t="shared" si="0"/>
        <v>26.173000000000002</v>
      </c>
      <c r="P5" s="81">
        <f t="shared" si="0"/>
        <v>26.173000000000002</v>
      </c>
      <c r="Q5" s="81">
        <f t="shared" si="0"/>
        <v>26.173000000000002</v>
      </c>
      <c r="R5" s="81">
        <f t="shared" si="0"/>
        <v>26.173000000000002</v>
      </c>
      <c r="S5" s="81">
        <f t="shared" si="0"/>
        <v>26.173000000000002</v>
      </c>
      <c r="T5" s="81">
        <f t="shared" si="0"/>
        <v>26.173000000000002</v>
      </c>
      <c r="U5" s="81">
        <f t="shared" si="0"/>
        <v>26.173000000000002</v>
      </c>
      <c r="V5" s="81">
        <f t="shared" si="0"/>
        <v>26.173000000000002</v>
      </c>
      <c r="W5" s="81">
        <f t="shared" si="0"/>
        <v>26.173000000000002</v>
      </c>
      <c r="X5" s="81">
        <f t="shared" si="0"/>
        <v>26.173000000000002</v>
      </c>
      <c r="Y5" s="81">
        <f t="shared" si="0"/>
        <v>26.173000000000002</v>
      </c>
      <c r="Z5" s="81">
        <f t="shared" si="0"/>
        <v>26.173000000000002</v>
      </c>
      <c r="AA5" s="81">
        <f t="shared" si="0"/>
        <v>26.173000000000002</v>
      </c>
      <c r="AB5" s="81">
        <f t="shared" si="0"/>
        <v>26.173000000000002</v>
      </c>
      <c r="AC5" s="81">
        <f t="shared" si="0"/>
        <v>26.173000000000002</v>
      </c>
      <c r="AD5" s="81">
        <f t="shared" si="0"/>
        <v>26.173000000000002</v>
      </c>
      <c r="AE5" s="81">
        <f t="shared" si="0"/>
        <v>26.173000000000002</v>
      </c>
      <c r="AF5" s="81">
        <f t="shared" si="0"/>
        <v>26.173000000000002</v>
      </c>
      <c r="AG5" s="81">
        <f t="shared" si="0"/>
        <v>26.173000000000002</v>
      </c>
      <c r="AH5" s="81">
        <f t="shared" si="0"/>
        <v>26.173000000000002</v>
      </c>
      <c r="AI5" s="81">
        <f t="shared" si="0"/>
        <v>26.173000000000002</v>
      </c>
      <c r="AJ5" s="81">
        <f t="shared" si="0"/>
        <v>26.173000000000002</v>
      </c>
      <c r="AK5" s="81">
        <f t="shared" si="0"/>
        <v>26.173000000000002</v>
      </c>
      <c r="AL5" s="81">
        <f t="shared" si="0"/>
        <v>26.173000000000002</v>
      </c>
      <c r="AM5" s="81">
        <f t="shared" si="0"/>
        <v>26.173000000000002</v>
      </c>
      <c r="AN5" s="81">
        <f t="shared" si="0"/>
        <v>26.173000000000002</v>
      </c>
      <c r="AO5" s="81">
        <f t="shared" si="0"/>
        <v>26.173000000000002</v>
      </c>
      <c r="AP5" s="81">
        <f t="shared" si="0"/>
        <v>26.173000000000002</v>
      </c>
      <c r="AQ5" s="81">
        <f t="shared" si="0"/>
        <v>26.173000000000002</v>
      </c>
      <c r="AR5" s="81">
        <f t="shared" si="0"/>
        <v>26.173000000000002</v>
      </c>
      <c r="AS5" s="81">
        <f t="shared" si="0"/>
        <v>26.173000000000002</v>
      </c>
      <c r="AT5" s="81">
        <f t="shared" si="0"/>
        <v>26.173000000000002</v>
      </c>
      <c r="AU5" s="81">
        <f t="shared" si="0"/>
        <v>26.173000000000002</v>
      </c>
      <c r="AV5" s="81">
        <f t="shared" si="0"/>
        <v>26.173000000000002</v>
      </c>
      <c r="AW5" s="81">
        <f t="shared" si="0"/>
        <v>26.173000000000002</v>
      </c>
      <c r="AX5" s="81">
        <f>(1.4585*AX$113)+14.505</f>
        <v>26.173000000000002</v>
      </c>
      <c r="AY5" s="81">
        <f t="shared" si="0"/>
        <v>26.173000000000002</v>
      </c>
      <c r="AZ5" s="81">
        <f t="shared" si="0"/>
        <v>26.173000000000002</v>
      </c>
      <c r="BA5" s="81">
        <f t="shared" si="0"/>
        <v>26.173000000000002</v>
      </c>
      <c r="BB5" s="81">
        <f t="shared" si="0"/>
        <v>26.173000000000002</v>
      </c>
      <c r="BC5" s="81">
        <f t="shared" si="0"/>
        <v>26.173000000000002</v>
      </c>
      <c r="BD5" s="81">
        <f t="shared" si="0"/>
        <v>26.173000000000002</v>
      </c>
      <c r="BE5" s="81">
        <f t="shared" si="0"/>
        <v>26.173000000000002</v>
      </c>
      <c r="BF5" s="81">
        <f t="shared" si="0"/>
        <v>26.173000000000002</v>
      </c>
      <c r="BG5" s="81">
        <f t="shared" si="0"/>
        <v>26.173000000000002</v>
      </c>
      <c r="BH5" s="81">
        <f t="shared" si="0"/>
        <v>26.173000000000002</v>
      </c>
      <c r="BI5" s="81">
        <f t="shared" si="0"/>
        <v>26.173000000000002</v>
      </c>
      <c r="BJ5" s="81">
        <f t="shared" si="0"/>
        <v>26.173000000000002</v>
      </c>
      <c r="BK5" s="81">
        <f t="shared" si="0"/>
        <v>26.173000000000002</v>
      </c>
      <c r="BL5" s="81">
        <f t="shared" si="0"/>
        <v>26.173000000000002</v>
      </c>
      <c r="BM5" s="81">
        <f t="shared" si="0"/>
        <v>26.173000000000002</v>
      </c>
      <c r="BN5" s="81">
        <f t="shared" si="0"/>
        <v>26.173000000000002</v>
      </c>
      <c r="BO5" s="81">
        <f aca="true" t="shared" si="1" ref="BO5:CW5">(1.4585*BO$113)+14.505</f>
        <v>26.173000000000002</v>
      </c>
      <c r="BP5" s="81">
        <f t="shared" si="1"/>
        <v>26.173000000000002</v>
      </c>
      <c r="BQ5" s="81">
        <f t="shared" si="1"/>
        <v>26.173000000000002</v>
      </c>
      <c r="BR5" s="81">
        <f t="shared" si="1"/>
        <v>26.173000000000002</v>
      </c>
      <c r="BS5" s="81">
        <f t="shared" si="1"/>
        <v>26.173000000000002</v>
      </c>
      <c r="BT5" s="81">
        <f t="shared" si="1"/>
        <v>26.173000000000002</v>
      </c>
      <c r="BU5" s="81">
        <f t="shared" si="1"/>
        <v>26.173000000000002</v>
      </c>
      <c r="BV5" s="81">
        <f t="shared" si="1"/>
        <v>26.173000000000002</v>
      </c>
      <c r="BW5" s="81">
        <f t="shared" si="1"/>
        <v>26.173000000000002</v>
      </c>
      <c r="BX5" s="81">
        <f t="shared" si="1"/>
        <v>26.173000000000002</v>
      </c>
      <c r="BY5" s="81">
        <f t="shared" si="1"/>
        <v>26.173000000000002</v>
      </c>
      <c r="BZ5" s="81">
        <f t="shared" si="1"/>
        <v>26.173000000000002</v>
      </c>
      <c r="CA5" s="81">
        <f t="shared" si="1"/>
        <v>26.173000000000002</v>
      </c>
      <c r="CB5" s="81">
        <f t="shared" si="1"/>
        <v>26.173000000000002</v>
      </c>
      <c r="CC5" s="81">
        <f t="shared" si="1"/>
        <v>26.173000000000002</v>
      </c>
      <c r="CD5" s="81">
        <f t="shared" si="1"/>
        <v>26.173000000000002</v>
      </c>
      <c r="CE5" s="81">
        <f t="shared" si="1"/>
        <v>26.173000000000002</v>
      </c>
      <c r="CF5" s="81">
        <f t="shared" si="1"/>
        <v>26.173000000000002</v>
      </c>
      <c r="CG5" s="81">
        <f t="shared" si="1"/>
        <v>26.173000000000002</v>
      </c>
      <c r="CH5" s="81">
        <f t="shared" si="1"/>
        <v>26.173000000000002</v>
      </c>
      <c r="CI5" s="81">
        <f t="shared" si="1"/>
        <v>26.173000000000002</v>
      </c>
      <c r="CJ5" s="81">
        <f t="shared" si="1"/>
        <v>26.173000000000002</v>
      </c>
      <c r="CK5" s="81">
        <f t="shared" si="1"/>
        <v>26.173000000000002</v>
      </c>
      <c r="CL5" s="81">
        <f t="shared" si="1"/>
        <v>26.173000000000002</v>
      </c>
      <c r="CM5" s="81">
        <f t="shared" si="1"/>
        <v>26.173000000000002</v>
      </c>
      <c r="CN5" s="81">
        <f t="shared" si="1"/>
        <v>26.173000000000002</v>
      </c>
      <c r="CO5" s="81">
        <f t="shared" si="1"/>
        <v>26.173000000000002</v>
      </c>
      <c r="CP5" s="81">
        <f t="shared" si="1"/>
        <v>26.173000000000002</v>
      </c>
      <c r="CQ5" s="81">
        <f t="shared" si="1"/>
        <v>26.173000000000002</v>
      </c>
      <c r="CR5" s="81">
        <f t="shared" si="1"/>
        <v>26.173000000000002</v>
      </c>
      <c r="CS5" s="81">
        <f t="shared" si="1"/>
        <v>26.173000000000002</v>
      </c>
      <c r="CT5" s="81">
        <f t="shared" si="1"/>
        <v>26.173000000000002</v>
      </c>
      <c r="CU5" s="81">
        <f t="shared" si="1"/>
        <v>26.173000000000002</v>
      </c>
      <c r="CV5" s="81">
        <f t="shared" si="1"/>
        <v>26.173000000000002</v>
      </c>
      <c r="CW5" s="160">
        <f t="shared" si="1"/>
        <v>26.173000000000002</v>
      </c>
      <c r="CX5" s="128"/>
      <c r="CY5" s="165"/>
      <c r="CZ5" s="165"/>
    </row>
    <row r="6" spans="1:104" ht="15.75" customHeight="1">
      <c r="A6" s="92" t="s">
        <v>143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161"/>
      <c r="CX6" s="128"/>
      <c r="CY6" s="165"/>
      <c r="CZ6" s="165"/>
    </row>
    <row r="7" spans="1:104" s="90" customFormat="1" ht="17.25" customHeight="1">
      <c r="A7" s="90" t="s">
        <v>148</v>
      </c>
      <c r="B7" s="54">
        <v>1</v>
      </c>
      <c r="C7" s="54">
        <v>1</v>
      </c>
      <c r="D7" s="54">
        <v>1</v>
      </c>
      <c r="E7" s="54">
        <v>1</v>
      </c>
      <c r="F7" s="54">
        <v>1</v>
      </c>
      <c r="G7" s="54">
        <v>1</v>
      </c>
      <c r="H7" s="54">
        <v>1</v>
      </c>
      <c r="I7" s="55">
        <v>1</v>
      </c>
      <c r="J7" s="54">
        <v>1</v>
      </c>
      <c r="K7" s="55">
        <v>1</v>
      </c>
      <c r="L7" s="54">
        <v>1</v>
      </c>
      <c r="M7" s="55">
        <v>1</v>
      </c>
      <c r="N7" s="54">
        <v>1</v>
      </c>
      <c r="O7" s="55">
        <v>1</v>
      </c>
      <c r="P7" s="55">
        <v>1</v>
      </c>
      <c r="Q7" s="55">
        <v>1</v>
      </c>
      <c r="R7" s="55">
        <v>1</v>
      </c>
      <c r="S7" s="55">
        <v>1</v>
      </c>
      <c r="T7" s="55">
        <v>1</v>
      </c>
      <c r="U7" s="55">
        <v>1</v>
      </c>
      <c r="V7" s="55">
        <v>1</v>
      </c>
      <c r="W7" s="55">
        <v>1</v>
      </c>
      <c r="X7" s="55">
        <v>1</v>
      </c>
      <c r="Y7" s="55">
        <v>1</v>
      </c>
      <c r="Z7" s="55">
        <v>1</v>
      </c>
      <c r="AA7" s="55">
        <v>1</v>
      </c>
      <c r="AB7" s="55">
        <v>1</v>
      </c>
      <c r="AC7" s="55">
        <v>1</v>
      </c>
      <c r="AD7" s="55">
        <v>1</v>
      </c>
      <c r="AE7" s="55">
        <v>1</v>
      </c>
      <c r="AF7" s="55">
        <v>1</v>
      </c>
      <c r="AG7" s="55">
        <v>1</v>
      </c>
      <c r="AH7" s="55">
        <v>1</v>
      </c>
      <c r="AI7" s="55">
        <v>1</v>
      </c>
      <c r="AJ7" s="55">
        <v>1</v>
      </c>
      <c r="AK7" s="55">
        <v>1</v>
      </c>
      <c r="AL7" s="55">
        <v>1</v>
      </c>
      <c r="AM7" s="55">
        <v>1</v>
      </c>
      <c r="AN7" s="55">
        <v>1</v>
      </c>
      <c r="AO7" s="55">
        <v>1</v>
      </c>
      <c r="AP7" s="55">
        <v>1</v>
      </c>
      <c r="AQ7" s="55">
        <v>1</v>
      </c>
      <c r="AR7" s="55">
        <v>1</v>
      </c>
      <c r="AS7" s="55">
        <v>1</v>
      </c>
      <c r="AT7" s="55">
        <v>1</v>
      </c>
      <c r="AU7" s="55">
        <v>1</v>
      </c>
      <c r="AV7" s="55">
        <v>1</v>
      </c>
      <c r="AW7" s="55">
        <v>1</v>
      </c>
      <c r="AX7" s="55">
        <v>1</v>
      </c>
      <c r="AY7" s="55">
        <v>1</v>
      </c>
      <c r="AZ7" s="55">
        <v>1</v>
      </c>
      <c r="BA7" s="55">
        <v>1</v>
      </c>
      <c r="BB7" s="55">
        <v>1</v>
      </c>
      <c r="BC7" s="55">
        <v>1</v>
      </c>
      <c r="BD7" s="55">
        <v>1</v>
      </c>
      <c r="BE7" s="55">
        <v>1</v>
      </c>
      <c r="BF7" s="55">
        <v>1</v>
      </c>
      <c r="BG7" s="55">
        <v>1</v>
      </c>
      <c r="BH7" s="55">
        <v>1</v>
      </c>
      <c r="BI7" s="55">
        <v>1</v>
      </c>
      <c r="BJ7" s="55">
        <v>1</v>
      </c>
      <c r="BK7" s="55">
        <v>1</v>
      </c>
      <c r="BL7" s="55">
        <v>1</v>
      </c>
      <c r="BM7" s="55">
        <v>1</v>
      </c>
      <c r="BN7" s="55">
        <v>1</v>
      </c>
      <c r="BO7" s="55">
        <v>1</v>
      </c>
      <c r="BP7" s="55">
        <v>1</v>
      </c>
      <c r="BQ7" s="55">
        <v>1</v>
      </c>
      <c r="BR7" s="55">
        <v>1</v>
      </c>
      <c r="BS7" s="55">
        <v>1</v>
      </c>
      <c r="BT7" s="55">
        <v>1</v>
      </c>
      <c r="BU7" s="55">
        <v>1</v>
      </c>
      <c r="BV7" s="55">
        <v>1</v>
      </c>
      <c r="BW7" s="55">
        <v>1</v>
      </c>
      <c r="BX7" s="55">
        <v>1</v>
      </c>
      <c r="BY7" s="55">
        <v>1</v>
      </c>
      <c r="BZ7" s="55">
        <v>1</v>
      </c>
      <c r="CA7" s="55">
        <v>1</v>
      </c>
      <c r="CB7" s="55">
        <v>1</v>
      </c>
      <c r="CC7" s="55">
        <v>1</v>
      </c>
      <c r="CD7" s="55">
        <v>1</v>
      </c>
      <c r="CE7" s="55">
        <v>1</v>
      </c>
      <c r="CF7" s="55">
        <v>1</v>
      </c>
      <c r="CG7" s="55">
        <v>1</v>
      </c>
      <c r="CH7" s="55">
        <v>1</v>
      </c>
      <c r="CI7" s="55">
        <v>1</v>
      </c>
      <c r="CJ7" s="55">
        <v>1</v>
      </c>
      <c r="CK7" s="55">
        <v>1</v>
      </c>
      <c r="CL7" s="55">
        <v>1</v>
      </c>
      <c r="CM7" s="55">
        <v>1</v>
      </c>
      <c r="CN7" s="55">
        <v>1</v>
      </c>
      <c r="CO7" s="55">
        <v>1</v>
      </c>
      <c r="CP7" s="55">
        <v>1</v>
      </c>
      <c r="CQ7" s="55">
        <v>1</v>
      </c>
      <c r="CR7" s="55">
        <v>1</v>
      </c>
      <c r="CS7" s="55">
        <v>1</v>
      </c>
      <c r="CT7" s="55">
        <v>1</v>
      </c>
      <c r="CU7" s="55">
        <v>1</v>
      </c>
      <c r="CV7" s="55">
        <v>1</v>
      </c>
      <c r="CW7" s="55">
        <v>1</v>
      </c>
      <c r="CX7" s="127"/>
      <c r="CY7" s="109"/>
      <c r="CZ7" s="109"/>
    </row>
    <row r="8" spans="1:104" s="90" customFormat="1" ht="16.5" customHeight="1">
      <c r="A8" s="92" t="s">
        <v>147</v>
      </c>
      <c r="B8" s="83">
        <f>IF(B$7=1,B$5+(2*B$10*12),IF(B$7=2,B$5+(4*B$10*12),IF(B$7=3,B$5,IF(B$7=4,B$5+(12*B$10),B$5+(3*12*B$10)))))</f>
        <v>42.173</v>
      </c>
      <c r="C8" s="83">
        <f aca="true" t="shared" si="2" ref="C8:BN8">IF(C$7=1,C$5+(2*C$10*12),IF(C$7=2,C$5+(4*C$10*12),IF(C$7=3,C$5,IF(C$7=4,C$5+(12*C$10),C$5+(3*12*C$10)))))</f>
        <v>42.173</v>
      </c>
      <c r="D8" s="83">
        <f t="shared" si="2"/>
        <v>42.173</v>
      </c>
      <c r="E8" s="83">
        <f t="shared" si="2"/>
        <v>42.173</v>
      </c>
      <c r="F8" s="83">
        <f t="shared" si="2"/>
        <v>42.173</v>
      </c>
      <c r="G8" s="83">
        <f t="shared" si="2"/>
        <v>42.173</v>
      </c>
      <c r="H8" s="83">
        <f t="shared" si="2"/>
        <v>42.173</v>
      </c>
      <c r="I8" s="83">
        <f t="shared" si="2"/>
        <v>42.173</v>
      </c>
      <c r="J8" s="83">
        <f t="shared" si="2"/>
        <v>42.173</v>
      </c>
      <c r="K8" s="83">
        <f t="shared" si="2"/>
        <v>42.173</v>
      </c>
      <c r="L8" s="83">
        <f t="shared" si="2"/>
        <v>42.173</v>
      </c>
      <c r="M8" s="83">
        <f t="shared" si="2"/>
        <v>42.173</v>
      </c>
      <c r="N8" s="83">
        <f t="shared" si="2"/>
        <v>42.173</v>
      </c>
      <c r="O8" s="83">
        <f t="shared" si="2"/>
        <v>42.173</v>
      </c>
      <c r="P8" s="83">
        <f t="shared" si="2"/>
        <v>42.173</v>
      </c>
      <c r="Q8" s="83">
        <f t="shared" si="2"/>
        <v>42.173</v>
      </c>
      <c r="R8" s="83">
        <f t="shared" si="2"/>
        <v>42.173</v>
      </c>
      <c r="S8" s="83">
        <f t="shared" si="2"/>
        <v>42.173</v>
      </c>
      <c r="T8" s="83">
        <f t="shared" si="2"/>
        <v>42.173</v>
      </c>
      <c r="U8" s="83">
        <f t="shared" si="2"/>
        <v>42.173</v>
      </c>
      <c r="V8" s="83">
        <f t="shared" si="2"/>
        <v>42.173</v>
      </c>
      <c r="W8" s="83">
        <f t="shared" si="2"/>
        <v>42.173</v>
      </c>
      <c r="X8" s="83">
        <f t="shared" si="2"/>
        <v>42.173</v>
      </c>
      <c r="Y8" s="83">
        <f t="shared" si="2"/>
        <v>42.173</v>
      </c>
      <c r="Z8" s="83">
        <f t="shared" si="2"/>
        <v>42.173</v>
      </c>
      <c r="AA8" s="83">
        <f t="shared" si="2"/>
        <v>42.173</v>
      </c>
      <c r="AB8" s="83">
        <f t="shared" si="2"/>
        <v>42.173</v>
      </c>
      <c r="AC8" s="83">
        <f t="shared" si="2"/>
        <v>42.173</v>
      </c>
      <c r="AD8" s="83">
        <f t="shared" si="2"/>
        <v>42.173</v>
      </c>
      <c r="AE8" s="83">
        <f t="shared" si="2"/>
        <v>42.173</v>
      </c>
      <c r="AF8" s="83">
        <f t="shared" si="2"/>
        <v>42.173</v>
      </c>
      <c r="AG8" s="83">
        <f t="shared" si="2"/>
        <v>42.173</v>
      </c>
      <c r="AH8" s="83">
        <f t="shared" si="2"/>
        <v>42.173</v>
      </c>
      <c r="AI8" s="83">
        <f t="shared" si="2"/>
        <v>42.173</v>
      </c>
      <c r="AJ8" s="83">
        <f t="shared" si="2"/>
        <v>42.173</v>
      </c>
      <c r="AK8" s="83">
        <f t="shared" si="2"/>
        <v>42.173</v>
      </c>
      <c r="AL8" s="83">
        <f t="shared" si="2"/>
        <v>42.173</v>
      </c>
      <c r="AM8" s="83">
        <f t="shared" si="2"/>
        <v>42.173</v>
      </c>
      <c r="AN8" s="83">
        <f t="shared" si="2"/>
        <v>42.173</v>
      </c>
      <c r="AO8" s="83">
        <f t="shared" si="2"/>
        <v>42.173</v>
      </c>
      <c r="AP8" s="83">
        <f t="shared" si="2"/>
        <v>42.173</v>
      </c>
      <c r="AQ8" s="83">
        <f t="shared" si="2"/>
        <v>42.173</v>
      </c>
      <c r="AR8" s="83">
        <f t="shared" si="2"/>
        <v>42.173</v>
      </c>
      <c r="AS8" s="83">
        <f t="shared" si="2"/>
        <v>42.173</v>
      </c>
      <c r="AT8" s="83">
        <f t="shared" si="2"/>
        <v>42.173</v>
      </c>
      <c r="AU8" s="83">
        <f t="shared" si="2"/>
        <v>42.173</v>
      </c>
      <c r="AV8" s="83">
        <f t="shared" si="2"/>
        <v>42.173</v>
      </c>
      <c r="AW8" s="83">
        <f t="shared" si="2"/>
        <v>42.173</v>
      </c>
      <c r="AX8" s="83">
        <f t="shared" si="2"/>
        <v>42.173</v>
      </c>
      <c r="AY8" s="83">
        <f t="shared" si="2"/>
        <v>42.173</v>
      </c>
      <c r="AZ8" s="83">
        <f t="shared" si="2"/>
        <v>42.173</v>
      </c>
      <c r="BA8" s="83">
        <f t="shared" si="2"/>
        <v>42.173</v>
      </c>
      <c r="BB8" s="83">
        <f t="shared" si="2"/>
        <v>42.173</v>
      </c>
      <c r="BC8" s="83">
        <f t="shared" si="2"/>
        <v>42.173</v>
      </c>
      <c r="BD8" s="83">
        <f t="shared" si="2"/>
        <v>42.173</v>
      </c>
      <c r="BE8" s="83">
        <f t="shared" si="2"/>
        <v>42.173</v>
      </c>
      <c r="BF8" s="83">
        <f t="shared" si="2"/>
        <v>42.173</v>
      </c>
      <c r="BG8" s="83">
        <f t="shared" si="2"/>
        <v>42.173</v>
      </c>
      <c r="BH8" s="83">
        <f t="shared" si="2"/>
        <v>42.173</v>
      </c>
      <c r="BI8" s="83">
        <f t="shared" si="2"/>
        <v>42.173</v>
      </c>
      <c r="BJ8" s="83">
        <f t="shared" si="2"/>
        <v>42.173</v>
      </c>
      <c r="BK8" s="83">
        <f t="shared" si="2"/>
        <v>42.173</v>
      </c>
      <c r="BL8" s="83">
        <f t="shared" si="2"/>
        <v>42.173</v>
      </c>
      <c r="BM8" s="83">
        <f t="shared" si="2"/>
        <v>42.173</v>
      </c>
      <c r="BN8" s="83">
        <f t="shared" si="2"/>
        <v>42.173</v>
      </c>
      <c r="BO8" s="83">
        <f aca="true" t="shared" si="3" ref="BO8:CW8">IF(BO$7=1,BO$5+(2*BO$10*12),IF(BO$7=2,BO$5+(4*BO$10*12),IF(BO$7=3,BO$5,IF(BO$7=4,BO$5+(12*BO$10),BO$5+(3*12*BO$10)))))</f>
        <v>42.173</v>
      </c>
      <c r="BP8" s="83">
        <f t="shared" si="3"/>
        <v>42.173</v>
      </c>
      <c r="BQ8" s="83">
        <f t="shared" si="3"/>
        <v>42.173</v>
      </c>
      <c r="BR8" s="83">
        <f t="shared" si="3"/>
        <v>42.173</v>
      </c>
      <c r="BS8" s="83">
        <f t="shared" si="3"/>
        <v>42.173</v>
      </c>
      <c r="BT8" s="83">
        <f t="shared" si="3"/>
        <v>42.173</v>
      </c>
      <c r="BU8" s="83">
        <f t="shared" si="3"/>
        <v>42.173</v>
      </c>
      <c r="BV8" s="83">
        <f t="shared" si="3"/>
        <v>42.173</v>
      </c>
      <c r="BW8" s="83">
        <f t="shared" si="3"/>
        <v>42.173</v>
      </c>
      <c r="BX8" s="83">
        <f t="shared" si="3"/>
        <v>42.173</v>
      </c>
      <c r="BY8" s="83">
        <f t="shared" si="3"/>
        <v>42.173</v>
      </c>
      <c r="BZ8" s="83">
        <f t="shared" si="3"/>
        <v>42.173</v>
      </c>
      <c r="CA8" s="83">
        <f t="shared" si="3"/>
        <v>42.173</v>
      </c>
      <c r="CB8" s="83">
        <f t="shared" si="3"/>
        <v>42.173</v>
      </c>
      <c r="CC8" s="83">
        <f t="shared" si="3"/>
        <v>42.173</v>
      </c>
      <c r="CD8" s="83">
        <f t="shared" si="3"/>
        <v>42.173</v>
      </c>
      <c r="CE8" s="83">
        <f t="shared" si="3"/>
        <v>42.173</v>
      </c>
      <c r="CF8" s="83">
        <f t="shared" si="3"/>
        <v>42.173</v>
      </c>
      <c r="CG8" s="83">
        <f t="shared" si="3"/>
        <v>42.173</v>
      </c>
      <c r="CH8" s="83">
        <f t="shared" si="3"/>
        <v>42.173</v>
      </c>
      <c r="CI8" s="83">
        <f t="shared" si="3"/>
        <v>42.173</v>
      </c>
      <c r="CJ8" s="83">
        <f t="shared" si="3"/>
        <v>42.173</v>
      </c>
      <c r="CK8" s="83">
        <f t="shared" si="3"/>
        <v>42.173</v>
      </c>
      <c r="CL8" s="83">
        <f t="shared" si="3"/>
        <v>42.173</v>
      </c>
      <c r="CM8" s="83">
        <f t="shared" si="3"/>
        <v>42.173</v>
      </c>
      <c r="CN8" s="83">
        <f t="shared" si="3"/>
        <v>42.173</v>
      </c>
      <c r="CO8" s="83">
        <f t="shared" si="3"/>
        <v>42.173</v>
      </c>
      <c r="CP8" s="83">
        <f t="shared" si="3"/>
        <v>42.173</v>
      </c>
      <c r="CQ8" s="83">
        <f t="shared" si="3"/>
        <v>42.173</v>
      </c>
      <c r="CR8" s="83">
        <f t="shared" si="3"/>
        <v>42.173</v>
      </c>
      <c r="CS8" s="83">
        <f t="shared" si="3"/>
        <v>42.173</v>
      </c>
      <c r="CT8" s="83">
        <f t="shared" si="3"/>
        <v>42.173</v>
      </c>
      <c r="CU8" s="83">
        <f t="shared" si="3"/>
        <v>42.173</v>
      </c>
      <c r="CV8" s="83">
        <f t="shared" si="3"/>
        <v>42.173</v>
      </c>
      <c r="CW8" s="162">
        <f t="shared" si="3"/>
        <v>42.173</v>
      </c>
      <c r="CX8" s="101"/>
      <c r="CY8" s="74"/>
      <c r="CZ8" s="74"/>
    </row>
    <row r="9" spans="1:104" ht="16.5" customHeight="1">
      <c r="A9" s="92" t="s">
        <v>144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161"/>
      <c r="CX9" s="128"/>
      <c r="CY9" s="165"/>
      <c r="CZ9" s="165"/>
    </row>
    <row r="10" spans="1:104" ht="15.75" customHeight="1">
      <c r="A10" s="92" t="s">
        <v>196</v>
      </c>
      <c r="B10" s="83">
        <f aca="true" t="shared" si="4" ref="B10:AG10">(B$113+B$6+B$9)/12</f>
        <v>0.6666666666666666</v>
      </c>
      <c r="C10" s="83">
        <f t="shared" si="4"/>
        <v>0.6666666666666666</v>
      </c>
      <c r="D10" s="83">
        <f t="shared" si="4"/>
        <v>0.6666666666666666</v>
      </c>
      <c r="E10" s="83">
        <f t="shared" si="4"/>
        <v>0.6666666666666666</v>
      </c>
      <c r="F10" s="83">
        <f t="shared" si="4"/>
        <v>0.6666666666666666</v>
      </c>
      <c r="G10" s="83">
        <f t="shared" si="4"/>
        <v>0.6666666666666666</v>
      </c>
      <c r="H10" s="83">
        <f t="shared" si="4"/>
        <v>0.6666666666666666</v>
      </c>
      <c r="I10" s="83">
        <f t="shared" si="4"/>
        <v>0.6666666666666666</v>
      </c>
      <c r="J10" s="83">
        <f t="shared" si="4"/>
        <v>0.6666666666666666</v>
      </c>
      <c r="K10" s="83">
        <f t="shared" si="4"/>
        <v>0.6666666666666666</v>
      </c>
      <c r="L10" s="83">
        <f t="shared" si="4"/>
        <v>0.6666666666666666</v>
      </c>
      <c r="M10" s="83">
        <f t="shared" si="4"/>
        <v>0.6666666666666666</v>
      </c>
      <c r="N10" s="83">
        <f t="shared" si="4"/>
        <v>0.6666666666666666</v>
      </c>
      <c r="O10" s="83">
        <f t="shared" si="4"/>
        <v>0.6666666666666666</v>
      </c>
      <c r="P10" s="83">
        <f t="shared" si="4"/>
        <v>0.6666666666666666</v>
      </c>
      <c r="Q10" s="83">
        <f t="shared" si="4"/>
        <v>0.6666666666666666</v>
      </c>
      <c r="R10" s="83">
        <f t="shared" si="4"/>
        <v>0.6666666666666666</v>
      </c>
      <c r="S10" s="83">
        <f t="shared" si="4"/>
        <v>0.6666666666666666</v>
      </c>
      <c r="T10" s="83">
        <f t="shared" si="4"/>
        <v>0.6666666666666666</v>
      </c>
      <c r="U10" s="83">
        <f t="shared" si="4"/>
        <v>0.6666666666666666</v>
      </c>
      <c r="V10" s="83">
        <f t="shared" si="4"/>
        <v>0.6666666666666666</v>
      </c>
      <c r="W10" s="83">
        <f t="shared" si="4"/>
        <v>0.6666666666666666</v>
      </c>
      <c r="X10" s="83">
        <f t="shared" si="4"/>
        <v>0.6666666666666666</v>
      </c>
      <c r="Y10" s="83">
        <f t="shared" si="4"/>
        <v>0.6666666666666666</v>
      </c>
      <c r="Z10" s="83">
        <f t="shared" si="4"/>
        <v>0.6666666666666666</v>
      </c>
      <c r="AA10" s="83">
        <f t="shared" si="4"/>
        <v>0.6666666666666666</v>
      </c>
      <c r="AB10" s="83">
        <f t="shared" si="4"/>
        <v>0.6666666666666666</v>
      </c>
      <c r="AC10" s="83">
        <f t="shared" si="4"/>
        <v>0.6666666666666666</v>
      </c>
      <c r="AD10" s="83">
        <f t="shared" si="4"/>
        <v>0.6666666666666666</v>
      </c>
      <c r="AE10" s="83">
        <f t="shared" si="4"/>
        <v>0.6666666666666666</v>
      </c>
      <c r="AF10" s="83">
        <f t="shared" si="4"/>
        <v>0.6666666666666666</v>
      </c>
      <c r="AG10" s="83">
        <f t="shared" si="4"/>
        <v>0.6666666666666666</v>
      </c>
      <c r="AH10" s="83">
        <f aca="true" t="shared" si="5" ref="AH10:BM10">(AH$113+AH$6+AH$9)/12</f>
        <v>0.6666666666666666</v>
      </c>
      <c r="AI10" s="83">
        <f t="shared" si="5"/>
        <v>0.6666666666666666</v>
      </c>
      <c r="AJ10" s="83">
        <f t="shared" si="5"/>
        <v>0.6666666666666666</v>
      </c>
      <c r="AK10" s="83">
        <f t="shared" si="5"/>
        <v>0.6666666666666666</v>
      </c>
      <c r="AL10" s="83">
        <f t="shared" si="5"/>
        <v>0.6666666666666666</v>
      </c>
      <c r="AM10" s="83">
        <f t="shared" si="5"/>
        <v>0.6666666666666666</v>
      </c>
      <c r="AN10" s="83">
        <f t="shared" si="5"/>
        <v>0.6666666666666666</v>
      </c>
      <c r="AO10" s="83">
        <f t="shared" si="5"/>
        <v>0.6666666666666666</v>
      </c>
      <c r="AP10" s="83">
        <f t="shared" si="5"/>
        <v>0.6666666666666666</v>
      </c>
      <c r="AQ10" s="83">
        <f t="shared" si="5"/>
        <v>0.6666666666666666</v>
      </c>
      <c r="AR10" s="83">
        <f t="shared" si="5"/>
        <v>0.6666666666666666</v>
      </c>
      <c r="AS10" s="83">
        <f t="shared" si="5"/>
        <v>0.6666666666666666</v>
      </c>
      <c r="AT10" s="83">
        <f t="shared" si="5"/>
        <v>0.6666666666666666</v>
      </c>
      <c r="AU10" s="83">
        <f t="shared" si="5"/>
        <v>0.6666666666666666</v>
      </c>
      <c r="AV10" s="83">
        <f t="shared" si="5"/>
        <v>0.6666666666666666</v>
      </c>
      <c r="AW10" s="83">
        <f t="shared" si="5"/>
        <v>0.6666666666666666</v>
      </c>
      <c r="AX10" s="83">
        <f t="shared" si="5"/>
        <v>0.6666666666666666</v>
      </c>
      <c r="AY10" s="83">
        <f t="shared" si="5"/>
        <v>0.6666666666666666</v>
      </c>
      <c r="AZ10" s="83">
        <f t="shared" si="5"/>
        <v>0.6666666666666666</v>
      </c>
      <c r="BA10" s="83">
        <f t="shared" si="5"/>
        <v>0.6666666666666666</v>
      </c>
      <c r="BB10" s="83">
        <f t="shared" si="5"/>
        <v>0.6666666666666666</v>
      </c>
      <c r="BC10" s="83">
        <f t="shared" si="5"/>
        <v>0.6666666666666666</v>
      </c>
      <c r="BD10" s="83">
        <f t="shared" si="5"/>
        <v>0.6666666666666666</v>
      </c>
      <c r="BE10" s="83">
        <f t="shared" si="5"/>
        <v>0.6666666666666666</v>
      </c>
      <c r="BF10" s="83">
        <f t="shared" si="5"/>
        <v>0.6666666666666666</v>
      </c>
      <c r="BG10" s="83">
        <f t="shared" si="5"/>
        <v>0.6666666666666666</v>
      </c>
      <c r="BH10" s="83">
        <f t="shared" si="5"/>
        <v>0.6666666666666666</v>
      </c>
      <c r="BI10" s="83">
        <f t="shared" si="5"/>
        <v>0.6666666666666666</v>
      </c>
      <c r="BJ10" s="83">
        <f t="shared" si="5"/>
        <v>0.6666666666666666</v>
      </c>
      <c r="BK10" s="83">
        <f t="shared" si="5"/>
        <v>0.6666666666666666</v>
      </c>
      <c r="BL10" s="83">
        <f t="shared" si="5"/>
        <v>0.6666666666666666</v>
      </c>
      <c r="BM10" s="83">
        <f t="shared" si="5"/>
        <v>0.6666666666666666</v>
      </c>
      <c r="BN10" s="83">
        <f aca="true" t="shared" si="6" ref="BN10:CW10">(BN$113+BN$6+BN$9)/12</f>
        <v>0.6666666666666666</v>
      </c>
      <c r="BO10" s="83">
        <f t="shared" si="6"/>
        <v>0.6666666666666666</v>
      </c>
      <c r="BP10" s="83">
        <f t="shared" si="6"/>
        <v>0.6666666666666666</v>
      </c>
      <c r="BQ10" s="83">
        <f t="shared" si="6"/>
        <v>0.6666666666666666</v>
      </c>
      <c r="BR10" s="83">
        <f t="shared" si="6"/>
        <v>0.6666666666666666</v>
      </c>
      <c r="BS10" s="83">
        <f t="shared" si="6"/>
        <v>0.6666666666666666</v>
      </c>
      <c r="BT10" s="83">
        <f t="shared" si="6"/>
        <v>0.6666666666666666</v>
      </c>
      <c r="BU10" s="83">
        <f t="shared" si="6"/>
        <v>0.6666666666666666</v>
      </c>
      <c r="BV10" s="83">
        <f t="shared" si="6"/>
        <v>0.6666666666666666</v>
      </c>
      <c r="BW10" s="83">
        <f t="shared" si="6"/>
        <v>0.6666666666666666</v>
      </c>
      <c r="BX10" s="83">
        <f t="shared" si="6"/>
        <v>0.6666666666666666</v>
      </c>
      <c r="BY10" s="83">
        <f t="shared" si="6"/>
        <v>0.6666666666666666</v>
      </c>
      <c r="BZ10" s="83">
        <f t="shared" si="6"/>
        <v>0.6666666666666666</v>
      </c>
      <c r="CA10" s="83">
        <f t="shared" si="6"/>
        <v>0.6666666666666666</v>
      </c>
      <c r="CB10" s="83">
        <f t="shared" si="6"/>
        <v>0.6666666666666666</v>
      </c>
      <c r="CC10" s="83">
        <f t="shared" si="6"/>
        <v>0.6666666666666666</v>
      </c>
      <c r="CD10" s="83">
        <f t="shared" si="6"/>
        <v>0.6666666666666666</v>
      </c>
      <c r="CE10" s="83">
        <f t="shared" si="6"/>
        <v>0.6666666666666666</v>
      </c>
      <c r="CF10" s="83">
        <f t="shared" si="6"/>
        <v>0.6666666666666666</v>
      </c>
      <c r="CG10" s="83">
        <f t="shared" si="6"/>
        <v>0.6666666666666666</v>
      </c>
      <c r="CH10" s="83">
        <f t="shared" si="6"/>
        <v>0.6666666666666666</v>
      </c>
      <c r="CI10" s="83">
        <f t="shared" si="6"/>
        <v>0.6666666666666666</v>
      </c>
      <c r="CJ10" s="83">
        <f t="shared" si="6"/>
        <v>0.6666666666666666</v>
      </c>
      <c r="CK10" s="83">
        <f t="shared" si="6"/>
        <v>0.6666666666666666</v>
      </c>
      <c r="CL10" s="83">
        <f t="shared" si="6"/>
        <v>0.6666666666666666</v>
      </c>
      <c r="CM10" s="83">
        <f t="shared" si="6"/>
        <v>0.6666666666666666</v>
      </c>
      <c r="CN10" s="83">
        <f t="shared" si="6"/>
        <v>0.6666666666666666</v>
      </c>
      <c r="CO10" s="83">
        <f t="shared" si="6"/>
        <v>0.6666666666666666</v>
      </c>
      <c r="CP10" s="83">
        <f t="shared" si="6"/>
        <v>0.6666666666666666</v>
      </c>
      <c r="CQ10" s="83">
        <f t="shared" si="6"/>
        <v>0.6666666666666666</v>
      </c>
      <c r="CR10" s="83">
        <f t="shared" si="6"/>
        <v>0.6666666666666666</v>
      </c>
      <c r="CS10" s="83">
        <f t="shared" si="6"/>
        <v>0.6666666666666666</v>
      </c>
      <c r="CT10" s="83">
        <f t="shared" si="6"/>
        <v>0.6666666666666666</v>
      </c>
      <c r="CU10" s="83">
        <f t="shared" si="6"/>
        <v>0.6666666666666666</v>
      </c>
      <c r="CV10" s="83">
        <f t="shared" si="6"/>
        <v>0.6666666666666666</v>
      </c>
      <c r="CW10" s="162">
        <f t="shared" si="6"/>
        <v>0.6666666666666666</v>
      </c>
      <c r="CX10" s="101"/>
      <c r="CY10" s="74"/>
      <c r="CZ10" s="74"/>
    </row>
    <row r="11" spans="1:104" ht="15.75" customHeight="1">
      <c r="A11" s="92" t="s">
        <v>135</v>
      </c>
      <c r="B11" s="58">
        <v>1</v>
      </c>
      <c r="C11" s="57">
        <v>1</v>
      </c>
      <c r="D11" s="57">
        <v>1</v>
      </c>
      <c r="E11" s="57">
        <v>1</v>
      </c>
      <c r="F11" s="57">
        <v>1</v>
      </c>
      <c r="G11" s="57">
        <v>1</v>
      </c>
      <c r="H11" s="57">
        <v>1</v>
      </c>
      <c r="I11" s="57">
        <v>1</v>
      </c>
      <c r="J11" s="57">
        <v>1</v>
      </c>
      <c r="K11" s="57">
        <v>1</v>
      </c>
      <c r="L11" s="57">
        <v>1</v>
      </c>
      <c r="M11" s="57">
        <v>1</v>
      </c>
      <c r="N11" s="57">
        <v>1</v>
      </c>
      <c r="O11" s="57">
        <v>1</v>
      </c>
      <c r="P11" s="57">
        <v>1</v>
      </c>
      <c r="Q11" s="57">
        <v>1</v>
      </c>
      <c r="R11" s="57">
        <v>1</v>
      </c>
      <c r="S11" s="57">
        <v>1</v>
      </c>
      <c r="T11" s="57">
        <v>1</v>
      </c>
      <c r="U11" s="57">
        <v>1</v>
      </c>
      <c r="V11" s="57">
        <v>1</v>
      </c>
      <c r="W11" s="57">
        <v>1</v>
      </c>
      <c r="X11" s="57">
        <v>1</v>
      </c>
      <c r="Y11" s="57">
        <v>1</v>
      </c>
      <c r="Z11" s="57">
        <v>1</v>
      </c>
      <c r="AA11" s="57">
        <v>1</v>
      </c>
      <c r="AB11" s="57">
        <v>1</v>
      </c>
      <c r="AC11" s="57">
        <v>1</v>
      </c>
      <c r="AD11" s="57">
        <v>1</v>
      </c>
      <c r="AE11" s="57">
        <v>1</v>
      </c>
      <c r="AF11" s="57">
        <v>1</v>
      </c>
      <c r="AG11" s="57">
        <v>1</v>
      </c>
      <c r="AH11" s="57">
        <v>1</v>
      </c>
      <c r="AI11" s="57">
        <v>1</v>
      </c>
      <c r="AJ11" s="57">
        <v>1</v>
      </c>
      <c r="AK11" s="57">
        <v>1</v>
      </c>
      <c r="AL11" s="57">
        <v>1</v>
      </c>
      <c r="AM11" s="57">
        <v>1</v>
      </c>
      <c r="AN11" s="57">
        <v>1</v>
      </c>
      <c r="AO11" s="57">
        <v>1</v>
      </c>
      <c r="AP11" s="57">
        <v>1</v>
      </c>
      <c r="AQ11" s="57">
        <v>1</v>
      </c>
      <c r="AR11" s="57">
        <v>1</v>
      </c>
      <c r="AS11" s="57">
        <v>1</v>
      </c>
      <c r="AT11" s="57">
        <v>1</v>
      </c>
      <c r="AU11" s="57">
        <v>1</v>
      </c>
      <c r="AV11" s="57">
        <v>1</v>
      </c>
      <c r="AW11" s="57">
        <v>1</v>
      </c>
      <c r="AX11" s="57">
        <v>1</v>
      </c>
      <c r="AY11" s="57">
        <v>1</v>
      </c>
      <c r="AZ11" s="57">
        <v>1</v>
      </c>
      <c r="BA11" s="57">
        <v>1</v>
      </c>
      <c r="BB11" s="57">
        <v>1</v>
      </c>
      <c r="BC11" s="57">
        <v>1</v>
      </c>
      <c r="BD11" s="57">
        <v>1</v>
      </c>
      <c r="BE11" s="57">
        <v>1</v>
      </c>
      <c r="BF11" s="57">
        <v>1</v>
      </c>
      <c r="BG11" s="57">
        <v>1</v>
      </c>
      <c r="BH11" s="57">
        <v>1</v>
      </c>
      <c r="BI11" s="57">
        <v>1</v>
      </c>
      <c r="BJ11" s="57">
        <v>1</v>
      </c>
      <c r="BK11" s="57">
        <v>1</v>
      </c>
      <c r="BL11" s="57">
        <v>1</v>
      </c>
      <c r="BM11" s="57">
        <v>1</v>
      </c>
      <c r="BN11" s="57">
        <v>1</v>
      </c>
      <c r="BO11" s="57">
        <v>1</v>
      </c>
      <c r="BP11" s="57">
        <v>1</v>
      </c>
      <c r="BQ11" s="57">
        <v>1</v>
      </c>
      <c r="BR11" s="57">
        <v>1</v>
      </c>
      <c r="BS11" s="57">
        <v>1</v>
      </c>
      <c r="BT11" s="57">
        <v>1</v>
      </c>
      <c r="BU11" s="57">
        <v>1</v>
      </c>
      <c r="BV11" s="57">
        <v>1</v>
      </c>
      <c r="BW11" s="57">
        <v>1</v>
      </c>
      <c r="BX11" s="57">
        <v>1</v>
      </c>
      <c r="BY11" s="57">
        <v>1</v>
      </c>
      <c r="BZ11" s="57">
        <v>1</v>
      </c>
      <c r="CA11" s="57">
        <v>1</v>
      </c>
      <c r="CB11" s="57">
        <v>1</v>
      </c>
      <c r="CC11" s="57">
        <v>1</v>
      </c>
      <c r="CD11" s="57">
        <v>1</v>
      </c>
      <c r="CE11" s="57">
        <v>1</v>
      </c>
      <c r="CF11" s="57">
        <v>1</v>
      </c>
      <c r="CG11" s="57">
        <v>1</v>
      </c>
      <c r="CH11" s="57">
        <v>1</v>
      </c>
      <c r="CI11" s="57">
        <v>1</v>
      </c>
      <c r="CJ11" s="57">
        <v>1</v>
      </c>
      <c r="CK11" s="57">
        <v>1</v>
      </c>
      <c r="CL11" s="57">
        <v>1</v>
      </c>
      <c r="CM11" s="57">
        <v>1</v>
      </c>
      <c r="CN11" s="57">
        <v>1</v>
      </c>
      <c r="CO11" s="57">
        <v>1</v>
      </c>
      <c r="CP11" s="57">
        <v>1</v>
      </c>
      <c r="CQ11" s="57">
        <v>1</v>
      </c>
      <c r="CR11" s="57">
        <v>1</v>
      </c>
      <c r="CS11" s="57">
        <v>1</v>
      </c>
      <c r="CT11" s="57">
        <v>1</v>
      </c>
      <c r="CU11" s="57">
        <v>1</v>
      </c>
      <c r="CV11" s="57">
        <v>1</v>
      </c>
      <c r="CW11" s="57">
        <v>1</v>
      </c>
      <c r="CX11" s="102"/>
      <c r="CY11" s="158"/>
      <c r="CZ11" s="158"/>
    </row>
    <row r="12" spans="1:104" s="90" customFormat="1" ht="17.25" customHeight="1">
      <c r="A12" s="90" t="s">
        <v>130</v>
      </c>
      <c r="B12" s="54">
        <v>1</v>
      </c>
      <c r="C12" s="54">
        <v>1</v>
      </c>
      <c r="D12" s="53">
        <v>1</v>
      </c>
      <c r="E12" s="53">
        <v>1</v>
      </c>
      <c r="F12" s="53">
        <v>1</v>
      </c>
      <c r="G12" s="53">
        <v>1</v>
      </c>
      <c r="H12" s="53">
        <v>1</v>
      </c>
      <c r="I12" s="53">
        <v>1</v>
      </c>
      <c r="J12" s="53">
        <v>1</v>
      </c>
      <c r="K12" s="53">
        <v>1</v>
      </c>
      <c r="L12" s="53">
        <v>1</v>
      </c>
      <c r="M12" s="53">
        <v>1</v>
      </c>
      <c r="N12" s="53">
        <v>1</v>
      </c>
      <c r="O12" s="53">
        <v>1</v>
      </c>
      <c r="P12" s="53">
        <v>1</v>
      </c>
      <c r="Q12" s="53">
        <v>1</v>
      </c>
      <c r="R12" s="53">
        <v>1</v>
      </c>
      <c r="S12" s="53">
        <v>1</v>
      </c>
      <c r="T12" s="53">
        <v>1</v>
      </c>
      <c r="U12" s="53">
        <v>1</v>
      </c>
      <c r="V12" s="53">
        <v>1</v>
      </c>
      <c r="W12" s="53">
        <v>1</v>
      </c>
      <c r="X12" s="53">
        <v>1</v>
      </c>
      <c r="Y12" s="53">
        <v>1</v>
      </c>
      <c r="Z12" s="53">
        <v>1</v>
      </c>
      <c r="AA12" s="53">
        <v>1</v>
      </c>
      <c r="AB12" s="53">
        <v>1</v>
      </c>
      <c r="AC12" s="53">
        <v>1</v>
      </c>
      <c r="AD12" s="53">
        <v>1</v>
      </c>
      <c r="AE12" s="53">
        <v>1</v>
      </c>
      <c r="AF12" s="53">
        <v>1</v>
      </c>
      <c r="AG12" s="53">
        <v>1</v>
      </c>
      <c r="AH12" s="53">
        <v>1</v>
      </c>
      <c r="AI12" s="53">
        <v>1</v>
      </c>
      <c r="AJ12" s="53">
        <v>1</v>
      </c>
      <c r="AK12" s="53">
        <v>1</v>
      </c>
      <c r="AL12" s="53">
        <v>1</v>
      </c>
      <c r="AM12" s="53">
        <v>1</v>
      </c>
      <c r="AN12" s="53">
        <v>1</v>
      </c>
      <c r="AO12" s="53">
        <v>1</v>
      </c>
      <c r="AP12" s="53">
        <v>1</v>
      </c>
      <c r="AQ12" s="53">
        <v>1</v>
      </c>
      <c r="AR12" s="53">
        <v>1</v>
      </c>
      <c r="AS12" s="53">
        <v>1</v>
      </c>
      <c r="AT12" s="53">
        <v>1</v>
      </c>
      <c r="AU12" s="53">
        <v>1</v>
      </c>
      <c r="AV12" s="53">
        <v>1</v>
      </c>
      <c r="AW12" s="53">
        <v>1</v>
      </c>
      <c r="AX12" s="53">
        <v>1</v>
      </c>
      <c r="AY12" s="53">
        <v>1</v>
      </c>
      <c r="AZ12" s="53">
        <v>1</v>
      </c>
      <c r="BA12" s="53">
        <v>1</v>
      </c>
      <c r="BB12" s="53">
        <v>1</v>
      </c>
      <c r="BC12" s="53">
        <v>1</v>
      </c>
      <c r="BD12" s="53">
        <v>1</v>
      </c>
      <c r="BE12" s="53">
        <v>1</v>
      </c>
      <c r="BF12" s="53">
        <v>1</v>
      </c>
      <c r="BG12" s="53">
        <v>1</v>
      </c>
      <c r="BH12" s="53">
        <v>1</v>
      </c>
      <c r="BI12" s="53">
        <v>1</v>
      </c>
      <c r="BJ12" s="53">
        <v>1</v>
      </c>
      <c r="BK12" s="53">
        <v>1</v>
      </c>
      <c r="BL12" s="53">
        <v>1</v>
      </c>
      <c r="BM12" s="53">
        <v>1</v>
      </c>
      <c r="BN12" s="53">
        <v>1</v>
      </c>
      <c r="BO12" s="53">
        <v>1</v>
      </c>
      <c r="BP12" s="53">
        <v>1</v>
      </c>
      <c r="BQ12" s="53">
        <v>1</v>
      </c>
      <c r="BR12" s="53">
        <v>1</v>
      </c>
      <c r="BS12" s="53">
        <v>1</v>
      </c>
      <c r="BT12" s="53">
        <v>1</v>
      </c>
      <c r="BU12" s="53">
        <v>1</v>
      </c>
      <c r="BV12" s="53">
        <v>1</v>
      </c>
      <c r="BW12" s="53">
        <v>1</v>
      </c>
      <c r="BX12" s="53">
        <v>1</v>
      </c>
      <c r="BY12" s="53">
        <v>1</v>
      </c>
      <c r="BZ12" s="53">
        <v>1</v>
      </c>
      <c r="CA12" s="53">
        <v>1</v>
      </c>
      <c r="CB12" s="53">
        <v>1</v>
      </c>
      <c r="CC12" s="53">
        <v>1</v>
      </c>
      <c r="CD12" s="53">
        <v>1</v>
      </c>
      <c r="CE12" s="53">
        <v>1</v>
      </c>
      <c r="CF12" s="53">
        <v>1</v>
      </c>
      <c r="CG12" s="53">
        <v>1</v>
      </c>
      <c r="CH12" s="53">
        <v>1</v>
      </c>
      <c r="CI12" s="53">
        <v>1</v>
      </c>
      <c r="CJ12" s="53">
        <v>1</v>
      </c>
      <c r="CK12" s="53">
        <v>1</v>
      </c>
      <c r="CL12" s="53">
        <v>1</v>
      </c>
      <c r="CM12" s="53">
        <v>1</v>
      </c>
      <c r="CN12" s="53">
        <v>1</v>
      </c>
      <c r="CO12" s="53">
        <v>1</v>
      </c>
      <c r="CP12" s="53">
        <v>1</v>
      </c>
      <c r="CQ12" s="53">
        <v>1</v>
      </c>
      <c r="CR12" s="53">
        <v>1</v>
      </c>
      <c r="CS12" s="53">
        <v>1</v>
      </c>
      <c r="CT12" s="53">
        <v>1</v>
      </c>
      <c r="CU12" s="53">
        <v>1</v>
      </c>
      <c r="CV12" s="53">
        <v>1</v>
      </c>
      <c r="CW12" s="53">
        <v>1</v>
      </c>
      <c r="CX12" s="127"/>
      <c r="CY12" s="109"/>
      <c r="CZ12" s="109"/>
    </row>
    <row r="13" spans="1:104" s="90" customFormat="1" ht="16.5" customHeight="1">
      <c r="A13" s="92" t="s">
        <v>136</v>
      </c>
      <c r="B13" s="54">
        <v>1</v>
      </c>
      <c r="C13" s="54">
        <v>1</v>
      </c>
      <c r="D13" s="53">
        <v>1</v>
      </c>
      <c r="E13" s="53">
        <v>1</v>
      </c>
      <c r="F13" s="53">
        <v>1</v>
      </c>
      <c r="G13" s="53">
        <v>1</v>
      </c>
      <c r="H13" s="53">
        <v>1</v>
      </c>
      <c r="I13" s="53">
        <v>1</v>
      </c>
      <c r="J13" s="53">
        <v>1</v>
      </c>
      <c r="K13" s="53">
        <v>1</v>
      </c>
      <c r="L13" s="53">
        <v>1</v>
      </c>
      <c r="M13" s="53">
        <v>1</v>
      </c>
      <c r="N13" s="53">
        <v>1</v>
      </c>
      <c r="O13" s="53">
        <v>1</v>
      </c>
      <c r="P13" s="53">
        <v>1</v>
      </c>
      <c r="Q13" s="53">
        <v>1</v>
      </c>
      <c r="R13" s="53">
        <v>1</v>
      </c>
      <c r="S13" s="53">
        <v>1</v>
      </c>
      <c r="T13" s="53">
        <v>1</v>
      </c>
      <c r="U13" s="53">
        <v>1</v>
      </c>
      <c r="V13" s="53">
        <v>1</v>
      </c>
      <c r="W13" s="53">
        <v>1</v>
      </c>
      <c r="X13" s="53">
        <v>1</v>
      </c>
      <c r="Y13" s="53">
        <v>1</v>
      </c>
      <c r="Z13" s="53">
        <v>1</v>
      </c>
      <c r="AA13" s="53">
        <v>1</v>
      </c>
      <c r="AB13" s="53">
        <v>1</v>
      </c>
      <c r="AC13" s="53">
        <v>1</v>
      </c>
      <c r="AD13" s="53">
        <v>1</v>
      </c>
      <c r="AE13" s="53">
        <v>1</v>
      </c>
      <c r="AF13" s="53">
        <v>1</v>
      </c>
      <c r="AG13" s="53">
        <v>1</v>
      </c>
      <c r="AH13" s="53">
        <v>1</v>
      </c>
      <c r="AI13" s="53">
        <v>1</v>
      </c>
      <c r="AJ13" s="53">
        <v>1</v>
      </c>
      <c r="AK13" s="53">
        <v>1</v>
      </c>
      <c r="AL13" s="53">
        <v>1</v>
      </c>
      <c r="AM13" s="53">
        <v>1</v>
      </c>
      <c r="AN13" s="53">
        <v>1</v>
      </c>
      <c r="AO13" s="53">
        <v>1</v>
      </c>
      <c r="AP13" s="53">
        <v>1</v>
      </c>
      <c r="AQ13" s="53">
        <v>1</v>
      </c>
      <c r="AR13" s="53">
        <v>1</v>
      </c>
      <c r="AS13" s="53">
        <v>1</v>
      </c>
      <c r="AT13" s="53">
        <v>1</v>
      </c>
      <c r="AU13" s="53">
        <v>1</v>
      </c>
      <c r="AV13" s="53">
        <v>1</v>
      </c>
      <c r="AW13" s="53">
        <v>1</v>
      </c>
      <c r="AX13" s="53">
        <v>1</v>
      </c>
      <c r="AY13" s="53">
        <v>1</v>
      </c>
      <c r="AZ13" s="53">
        <v>1</v>
      </c>
      <c r="BA13" s="53">
        <v>1</v>
      </c>
      <c r="BB13" s="53">
        <v>1</v>
      </c>
      <c r="BC13" s="53">
        <v>1</v>
      </c>
      <c r="BD13" s="53">
        <v>1</v>
      </c>
      <c r="BE13" s="53">
        <v>1</v>
      </c>
      <c r="BF13" s="53">
        <v>1</v>
      </c>
      <c r="BG13" s="53">
        <v>1</v>
      </c>
      <c r="BH13" s="53">
        <v>1</v>
      </c>
      <c r="BI13" s="53">
        <v>1</v>
      </c>
      <c r="BJ13" s="53">
        <v>1</v>
      </c>
      <c r="BK13" s="53">
        <v>1</v>
      </c>
      <c r="BL13" s="53">
        <v>1</v>
      </c>
      <c r="BM13" s="53">
        <v>1</v>
      </c>
      <c r="BN13" s="53">
        <v>1</v>
      </c>
      <c r="BO13" s="53">
        <v>1</v>
      </c>
      <c r="BP13" s="53">
        <v>1</v>
      </c>
      <c r="BQ13" s="53">
        <v>1</v>
      </c>
      <c r="BR13" s="53">
        <v>1</v>
      </c>
      <c r="BS13" s="53">
        <v>1</v>
      </c>
      <c r="BT13" s="53">
        <v>1</v>
      </c>
      <c r="BU13" s="53">
        <v>1</v>
      </c>
      <c r="BV13" s="53">
        <v>1</v>
      </c>
      <c r="BW13" s="53">
        <v>1</v>
      </c>
      <c r="BX13" s="53">
        <v>1</v>
      </c>
      <c r="BY13" s="53">
        <v>1</v>
      </c>
      <c r="BZ13" s="53">
        <v>1</v>
      </c>
      <c r="CA13" s="53">
        <v>1</v>
      </c>
      <c r="CB13" s="53">
        <v>1</v>
      </c>
      <c r="CC13" s="53">
        <v>1</v>
      </c>
      <c r="CD13" s="53">
        <v>1</v>
      </c>
      <c r="CE13" s="53">
        <v>1</v>
      </c>
      <c r="CF13" s="53">
        <v>1</v>
      </c>
      <c r="CG13" s="53">
        <v>1</v>
      </c>
      <c r="CH13" s="53">
        <v>1</v>
      </c>
      <c r="CI13" s="53">
        <v>1</v>
      </c>
      <c r="CJ13" s="53">
        <v>1</v>
      </c>
      <c r="CK13" s="53">
        <v>1</v>
      </c>
      <c r="CL13" s="53">
        <v>1</v>
      </c>
      <c r="CM13" s="53">
        <v>1</v>
      </c>
      <c r="CN13" s="53">
        <v>1</v>
      </c>
      <c r="CO13" s="53">
        <v>1</v>
      </c>
      <c r="CP13" s="53">
        <v>1</v>
      </c>
      <c r="CQ13" s="53">
        <v>1</v>
      </c>
      <c r="CR13" s="53">
        <v>1</v>
      </c>
      <c r="CS13" s="53">
        <v>1</v>
      </c>
      <c r="CT13" s="53">
        <v>1</v>
      </c>
      <c r="CU13" s="53">
        <v>1</v>
      </c>
      <c r="CV13" s="53">
        <v>1</v>
      </c>
      <c r="CW13" s="53">
        <v>1</v>
      </c>
      <c r="CX13" s="127"/>
      <c r="CY13" s="109"/>
      <c r="CZ13" s="109"/>
    </row>
    <row r="14" spans="1:104" s="90" customFormat="1" ht="16.5" customHeight="1">
      <c r="A14" s="92" t="s">
        <v>137</v>
      </c>
      <c r="B14" s="54">
        <v>1</v>
      </c>
      <c r="C14" s="54">
        <v>1</v>
      </c>
      <c r="D14" s="53">
        <v>1</v>
      </c>
      <c r="E14" s="53">
        <v>1</v>
      </c>
      <c r="F14" s="53">
        <v>1</v>
      </c>
      <c r="G14" s="53">
        <v>1</v>
      </c>
      <c r="H14" s="53">
        <v>1</v>
      </c>
      <c r="I14" s="53">
        <v>1</v>
      </c>
      <c r="J14" s="53">
        <v>1</v>
      </c>
      <c r="K14" s="53">
        <v>1</v>
      </c>
      <c r="L14" s="53">
        <v>1</v>
      </c>
      <c r="M14" s="53">
        <v>1</v>
      </c>
      <c r="N14" s="53">
        <v>1</v>
      </c>
      <c r="O14" s="53">
        <v>1</v>
      </c>
      <c r="P14" s="53">
        <v>1</v>
      </c>
      <c r="Q14" s="53">
        <v>1</v>
      </c>
      <c r="R14" s="53">
        <v>1</v>
      </c>
      <c r="S14" s="53">
        <v>1</v>
      </c>
      <c r="T14" s="53">
        <v>1</v>
      </c>
      <c r="U14" s="53">
        <v>1</v>
      </c>
      <c r="V14" s="53">
        <v>1</v>
      </c>
      <c r="W14" s="53">
        <v>1</v>
      </c>
      <c r="X14" s="53">
        <v>1</v>
      </c>
      <c r="Y14" s="53">
        <v>1</v>
      </c>
      <c r="Z14" s="53">
        <v>1</v>
      </c>
      <c r="AA14" s="53">
        <v>1</v>
      </c>
      <c r="AB14" s="53">
        <v>1</v>
      </c>
      <c r="AC14" s="53">
        <v>1</v>
      </c>
      <c r="AD14" s="53">
        <v>1</v>
      </c>
      <c r="AE14" s="53">
        <v>1</v>
      </c>
      <c r="AF14" s="53">
        <v>1</v>
      </c>
      <c r="AG14" s="53">
        <v>1</v>
      </c>
      <c r="AH14" s="53">
        <v>1</v>
      </c>
      <c r="AI14" s="53">
        <v>1</v>
      </c>
      <c r="AJ14" s="53">
        <v>1</v>
      </c>
      <c r="AK14" s="53">
        <v>1</v>
      </c>
      <c r="AL14" s="53">
        <v>1</v>
      </c>
      <c r="AM14" s="53">
        <v>1</v>
      </c>
      <c r="AN14" s="53">
        <v>1</v>
      </c>
      <c r="AO14" s="53">
        <v>1</v>
      </c>
      <c r="AP14" s="53">
        <v>1</v>
      </c>
      <c r="AQ14" s="53">
        <v>1</v>
      </c>
      <c r="AR14" s="53">
        <v>1</v>
      </c>
      <c r="AS14" s="53">
        <v>1</v>
      </c>
      <c r="AT14" s="53">
        <v>1</v>
      </c>
      <c r="AU14" s="53">
        <v>1</v>
      </c>
      <c r="AV14" s="53">
        <v>1</v>
      </c>
      <c r="AW14" s="53">
        <v>1</v>
      </c>
      <c r="AX14" s="53">
        <v>1</v>
      </c>
      <c r="AY14" s="53">
        <v>1</v>
      </c>
      <c r="AZ14" s="53">
        <v>1</v>
      </c>
      <c r="BA14" s="53">
        <v>1</v>
      </c>
      <c r="BB14" s="53">
        <v>1</v>
      </c>
      <c r="BC14" s="53">
        <v>1</v>
      </c>
      <c r="BD14" s="53">
        <v>1</v>
      </c>
      <c r="BE14" s="53">
        <v>1</v>
      </c>
      <c r="BF14" s="53">
        <v>1</v>
      </c>
      <c r="BG14" s="53">
        <v>1</v>
      </c>
      <c r="BH14" s="53">
        <v>1</v>
      </c>
      <c r="BI14" s="53">
        <v>1</v>
      </c>
      <c r="BJ14" s="53">
        <v>1</v>
      </c>
      <c r="BK14" s="53">
        <v>1</v>
      </c>
      <c r="BL14" s="53">
        <v>1</v>
      </c>
      <c r="BM14" s="53">
        <v>1</v>
      </c>
      <c r="BN14" s="53">
        <v>1</v>
      </c>
      <c r="BO14" s="53">
        <v>1</v>
      </c>
      <c r="BP14" s="53">
        <v>1</v>
      </c>
      <c r="BQ14" s="53">
        <v>1</v>
      </c>
      <c r="BR14" s="53">
        <v>1</v>
      </c>
      <c r="BS14" s="53">
        <v>1</v>
      </c>
      <c r="BT14" s="53">
        <v>1</v>
      </c>
      <c r="BU14" s="53">
        <v>1</v>
      </c>
      <c r="BV14" s="53">
        <v>1</v>
      </c>
      <c r="BW14" s="53">
        <v>1</v>
      </c>
      <c r="BX14" s="53">
        <v>1</v>
      </c>
      <c r="BY14" s="53">
        <v>1</v>
      </c>
      <c r="BZ14" s="53">
        <v>1</v>
      </c>
      <c r="CA14" s="53">
        <v>1</v>
      </c>
      <c r="CB14" s="53">
        <v>1</v>
      </c>
      <c r="CC14" s="53">
        <v>1</v>
      </c>
      <c r="CD14" s="53">
        <v>1</v>
      </c>
      <c r="CE14" s="53">
        <v>1</v>
      </c>
      <c r="CF14" s="53">
        <v>1</v>
      </c>
      <c r="CG14" s="53">
        <v>1</v>
      </c>
      <c r="CH14" s="53">
        <v>1</v>
      </c>
      <c r="CI14" s="53">
        <v>1</v>
      </c>
      <c r="CJ14" s="53">
        <v>1</v>
      </c>
      <c r="CK14" s="53">
        <v>1</v>
      </c>
      <c r="CL14" s="53">
        <v>1</v>
      </c>
      <c r="CM14" s="53">
        <v>1</v>
      </c>
      <c r="CN14" s="53">
        <v>1</v>
      </c>
      <c r="CO14" s="53">
        <v>1</v>
      </c>
      <c r="CP14" s="53">
        <v>1</v>
      </c>
      <c r="CQ14" s="53">
        <v>1</v>
      </c>
      <c r="CR14" s="53">
        <v>1</v>
      </c>
      <c r="CS14" s="53">
        <v>1</v>
      </c>
      <c r="CT14" s="53">
        <v>1</v>
      </c>
      <c r="CU14" s="53">
        <v>1</v>
      </c>
      <c r="CV14" s="53">
        <v>1</v>
      </c>
      <c r="CW14" s="53">
        <v>1</v>
      </c>
      <c r="CX14" s="127"/>
      <c r="CY14" s="109"/>
      <c r="CZ14" s="109"/>
    </row>
    <row r="15" spans="1:104" ht="15.75" customHeight="1">
      <c r="A15" s="90" t="s">
        <v>330</v>
      </c>
      <c r="B15" s="51"/>
      <c r="C15" s="51"/>
      <c r="D15" s="84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163"/>
      <c r="CX15" s="127"/>
      <c r="CY15" s="109"/>
      <c r="CZ15" s="109"/>
    </row>
    <row r="16" spans="1:104" s="113" customFormat="1" ht="27.75" customHeight="1">
      <c r="A16" s="93" t="s">
        <v>329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03"/>
      <c r="CY16" s="92"/>
      <c r="CZ16" s="92"/>
    </row>
    <row r="17" spans="1:104" ht="15" customHeight="1">
      <c r="A17" s="90" t="s">
        <v>247</v>
      </c>
      <c r="B17" s="59">
        <v>1</v>
      </c>
      <c r="C17" s="59">
        <v>1</v>
      </c>
      <c r="D17" s="80">
        <v>1</v>
      </c>
      <c r="E17" s="59">
        <v>1</v>
      </c>
      <c r="F17" s="59">
        <v>1</v>
      </c>
      <c r="G17" s="59">
        <v>1</v>
      </c>
      <c r="H17" s="59">
        <v>1</v>
      </c>
      <c r="I17" s="59">
        <v>1</v>
      </c>
      <c r="J17" s="59">
        <v>1</v>
      </c>
      <c r="K17" s="59">
        <v>1</v>
      </c>
      <c r="L17" s="59">
        <v>1</v>
      </c>
      <c r="M17" s="59">
        <v>1</v>
      </c>
      <c r="N17" s="59">
        <v>1</v>
      </c>
      <c r="O17" s="59">
        <v>1</v>
      </c>
      <c r="P17" s="59">
        <v>1</v>
      </c>
      <c r="Q17" s="59">
        <v>1</v>
      </c>
      <c r="R17" s="59">
        <v>1</v>
      </c>
      <c r="S17" s="59">
        <v>1</v>
      </c>
      <c r="T17" s="59">
        <v>1</v>
      </c>
      <c r="U17" s="59">
        <v>1</v>
      </c>
      <c r="V17" s="59">
        <v>1</v>
      </c>
      <c r="W17" s="59">
        <v>1</v>
      </c>
      <c r="X17" s="59">
        <v>1</v>
      </c>
      <c r="Y17" s="59">
        <v>1</v>
      </c>
      <c r="Z17" s="59">
        <v>1</v>
      </c>
      <c r="AA17" s="59">
        <v>1</v>
      </c>
      <c r="AB17" s="59">
        <v>1</v>
      </c>
      <c r="AC17" s="59">
        <v>1</v>
      </c>
      <c r="AD17" s="59">
        <v>1</v>
      </c>
      <c r="AE17" s="59">
        <v>1</v>
      </c>
      <c r="AF17" s="59">
        <v>1</v>
      </c>
      <c r="AG17" s="59">
        <v>1</v>
      </c>
      <c r="AH17" s="59">
        <v>1</v>
      </c>
      <c r="AI17" s="59">
        <v>1</v>
      </c>
      <c r="AJ17" s="59">
        <v>1</v>
      </c>
      <c r="AK17" s="59">
        <v>1</v>
      </c>
      <c r="AL17" s="59">
        <v>1</v>
      </c>
      <c r="AM17" s="59">
        <v>1</v>
      </c>
      <c r="AN17" s="59">
        <v>1</v>
      </c>
      <c r="AO17" s="59">
        <v>1</v>
      </c>
      <c r="AP17" s="59">
        <v>1</v>
      </c>
      <c r="AQ17" s="59">
        <v>1</v>
      </c>
      <c r="AR17" s="59">
        <v>1</v>
      </c>
      <c r="AS17" s="59">
        <v>1</v>
      </c>
      <c r="AT17" s="59">
        <v>1</v>
      </c>
      <c r="AU17" s="59">
        <v>1</v>
      </c>
      <c r="AV17" s="59">
        <v>1</v>
      </c>
      <c r="AW17" s="59">
        <v>1</v>
      </c>
      <c r="AX17" s="59">
        <v>1</v>
      </c>
      <c r="AY17" s="59">
        <v>1</v>
      </c>
      <c r="AZ17" s="59">
        <v>1</v>
      </c>
      <c r="BA17" s="59">
        <v>1</v>
      </c>
      <c r="BB17" s="59">
        <v>1</v>
      </c>
      <c r="BC17" s="59">
        <v>1</v>
      </c>
      <c r="BD17" s="59">
        <v>1</v>
      </c>
      <c r="BE17" s="59">
        <v>1</v>
      </c>
      <c r="BF17" s="59">
        <v>1</v>
      </c>
      <c r="BG17" s="59">
        <v>1</v>
      </c>
      <c r="BH17" s="59">
        <v>1</v>
      </c>
      <c r="BI17" s="59">
        <v>1</v>
      </c>
      <c r="BJ17" s="59">
        <v>1</v>
      </c>
      <c r="BK17" s="59">
        <v>1</v>
      </c>
      <c r="BL17" s="59">
        <v>1</v>
      </c>
      <c r="BM17" s="59">
        <v>1</v>
      </c>
      <c r="BN17" s="59">
        <v>1</v>
      </c>
      <c r="BO17" s="59">
        <v>1</v>
      </c>
      <c r="BP17" s="59">
        <v>1</v>
      </c>
      <c r="BQ17" s="59">
        <v>1</v>
      </c>
      <c r="BR17" s="59">
        <v>1</v>
      </c>
      <c r="BS17" s="59">
        <v>1</v>
      </c>
      <c r="BT17" s="59">
        <v>1</v>
      </c>
      <c r="BU17" s="59">
        <v>1</v>
      </c>
      <c r="BV17" s="59">
        <v>1</v>
      </c>
      <c r="BW17" s="59">
        <v>1</v>
      </c>
      <c r="BX17" s="59">
        <v>1</v>
      </c>
      <c r="BY17" s="59">
        <v>1</v>
      </c>
      <c r="BZ17" s="59">
        <v>1</v>
      </c>
      <c r="CA17" s="59">
        <v>1</v>
      </c>
      <c r="CB17" s="59">
        <v>1</v>
      </c>
      <c r="CC17" s="59">
        <v>1</v>
      </c>
      <c r="CD17" s="59">
        <v>1</v>
      </c>
      <c r="CE17" s="59">
        <v>1</v>
      </c>
      <c r="CF17" s="59">
        <v>1</v>
      </c>
      <c r="CG17" s="59">
        <v>1</v>
      </c>
      <c r="CH17" s="59">
        <v>1</v>
      </c>
      <c r="CI17" s="59">
        <v>1</v>
      </c>
      <c r="CJ17" s="59">
        <v>1</v>
      </c>
      <c r="CK17" s="59">
        <v>1</v>
      </c>
      <c r="CL17" s="59">
        <v>1</v>
      </c>
      <c r="CM17" s="59">
        <v>1</v>
      </c>
      <c r="CN17" s="59">
        <v>1</v>
      </c>
      <c r="CO17" s="59">
        <v>1</v>
      </c>
      <c r="CP17" s="59">
        <v>1</v>
      </c>
      <c r="CQ17" s="59">
        <v>1</v>
      </c>
      <c r="CR17" s="59">
        <v>1</v>
      </c>
      <c r="CS17" s="59">
        <v>1</v>
      </c>
      <c r="CT17" s="59">
        <v>1</v>
      </c>
      <c r="CU17" s="59">
        <v>1</v>
      </c>
      <c r="CV17" s="59">
        <v>1</v>
      </c>
      <c r="CW17" s="164">
        <v>1</v>
      </c>
      <c r="CX17" s="104"/>
      <c r="CY17" s="124"/>
      <c r="CZ17" s="124"/>
    </row>
    <row r="18" spans="1:104" ht="15" customHeight="1">
      <c r="A18" s="90" t="s">
        <v>190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2"/>
      <c r="CX18" s="127"/>
      <c r="CY18" s="109"/>
      <c r="CZ18" s="109"/>
    </row>
    <row r="19" spans="1:104" ht="15.75" customHeight="1">
      <c r="A19" s="90" t="s">
        <v>197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2"/>
      <c r="CX19" s="127"/>
      <c r="CY19" s="109"/>
      <c r="CZ19" s="109"/>
    </row>
    <row r="20" spans="1:104" ht="15.75" customHeight="1">
      <c r="A20" s="90" t="s">
        <v>191</v>
      </c>
      <c r="B20" s="51">
        <v>1</v>
      </c>
      <c r="C20" s="51">
        <v>1</v>
      </c>
      <c r="D20" s="51">
        <v>1</v>
      </c>
      <c r="E20" s="51">
        <v>2</v>
      </c>
      <c r="F20" s="51">
        <v>1</v>
      </c>
      <c r="G20" s="51">
        <v>1</v>
      </c>
      <c r="H20" s="51">
        <v>1</v>
      </c>
      <c r="I20" s="51">
        <v>1</v>
      </c>
      <c r="J20" s="51">
        <v>1</v>
      </c>
      <c r="K20" s="51">
        <v>1</v>
      </c>
      <c r="L20" s="51">
        <v>1</v>
      </c>
      <c r="M20" s="51">
        <v>1</v>
      </c>
      <c r="N20" s="51">
        <v>1</v>
      </c>
      <c r="O20" s="51">
        <v>1</v>
      </c>
      <c r="P20" s="51">
        <v>1</v>
      </c>
      <c r="Q20" s="51">
        <v>1</v>
      </c>
      <c r="R20" s="51">
        <v>1</v>
      </c>
      <c r="S20" s="51">
        <v>1</v>
      </c>
      <c r="T20" s="51">
        <v>1</v>
      </c>
      <c r="U20" s="51">
        <v>1</v>
      </c>
      <c r="V20" s="51">
        <v>1</v>
      </c>
      <c r="W20" s="51">
        <v>1</v>
      </c>
      <c r="X20" s="51">
        <v>1</v>
      </c>
      <c r="Y20" s="51">
        <v>1</v>
      </c>
      <c r="Z20" s="51">
        <v>1</v>
      </c>
      <c r="AA20" s="51">
        <v>1</v>
      </c>
      <c r="AB20" s="51">
        <v>1</v>
      </c>
      <c r="AC20" s="51">
        <v>1</v>
      </c>
      <c r="AD20" s="51">
        <v>1</v>
      </c>
      <c r="AE20" s="51">
        <v>1</v>
      </c>
      <c r="AF20" s="51">
        <v>1</v>
      </c>
      <c r="AG20" s="51">
        <v>1</v>
      </c>
      <c r="AH20" s="51">
        <v>1</v>
      </c>
      <c r="AI20" s="51">
        <v>1</v>
      </c>
      <c r="AJ20" s="51">
        <v>1</v>
      </c>
      <c r="AK20" s="51">
        <v>1</v>
      </c>
      <c r="AL20" s="51">
        <v>1</v>
      </c>
      <c r="AM20" s="51">
        <v>1</v>
      </c>
      <c r="AN20" s="51">
        <v>1</v>
      </c>
      <c r="AO20" s="51">
        <v>1</v>
      </c>
      <c r="AP20" s="51">
        <v>1</v>
      </c>
      <c r="AQ20" s="51">
        <v>1</v>
      </c>
      <c r="AR20" s="51">
        <v>1</v>
      </c>
      <c r="AS20" s="51">
        <v>1</v>
      </c>
      <c r="AT20" s="51">
        <v>1</v>
      </c>
      <c r="AU20" s="51">
        <v>1</v>
      </c>
      <c r="AV20" s="51">
        <v>1</v>
      </c>
      <c r="AW20" s="51">
        <v>1</v>
      </c>
      <c r="AX20" s="51">
        <v>1</v>
      </c>
      <c r="AY20" s="51">
        <v>1</v>
      </c>
      <c r="AZ20" s="51">
        <v>1</v>
      </c>
      <c r="BA20" s="51">
        <v>1</v>
      </c>
      <c r="BB20" s="51">
        <v>1</v>
      </c>
      <c r="BC20" s="51">
        <v>1</v>
      </c>
      <c r="BD20" s="51">
        <v>1</v>
      </c>
      <c r="BE20" s="51">
        <v>1</v>
      </c>
      <c r="BF20" s="51">
        <v>1</v>
      </c>
      <c r="BG20" s="51">
        <v>1</v>
      </c>
      <c r="BH20" s="51">
        <v>1</v>
      </c>
      <c r="BI20" s="51">
        <v>1</v>
      </c>
      <c r="BJ20" s="51">
        <v>1</v>
      </c>
      <c r="BK20" s="51">
        <v>1</v>
      </c>
      <c r="BL20" s="51">
        <v>1</v>
      </c>
      <c r="BM20" s="51">
        <v>1</v>
      </c>
      <c r="BN20" s="51">
        <v>1</v>
      </c>
      <c r="BO20" s="51">
        <v>1</v>
      </c>
      <c r="BP20" s="51">
        <v>1</v>
      </c>
      <c r="BQ20" s="51">
        <v>1</v>
      </c>
      <c r="BR20" s="51">
        <v>1</v>
      </c>
      <c r="BS20" s="51">
        <v>1</v>
      </c>
      <c r="BT20" s="51">
        <v>1</v>
      </c>
      <c r="BU20" s="51">
        <v>1</v>
      </c>
      <c r="BV20" s="51">
        <v>1</v>
      </c>
      <c r="BW20" s="51">
        <v>1</v>
      </c>
      <c r="BX20" s="51">
        <v>1</v>
      </c>
      <c r="BY20" s="51">
        <v>1</v>
      </c>
      <c r="BZ20" s="51">
        <v>1</v>
      </c>
      <c r="CA20" s="51">
        <v>1</v>
      </c>
      <c r="CB20" s="51">
        <v>1</v>
      </c>
      <c r="CC20" s="51">
        <v>1</v>
      </c>
      <c r="CD20" s="51">
        <v>1</v>
      </c>
      <c r="CE20" s="51">
        <v>1</v>
      </c>
      <c r="CF20" s="51">
        <v>1</v>
      </c>
      <c r="CG20" s="51">
        <v>1</v>
      </c>
      <c r="CH20" s="51">
        <v>1</v>
      </c>
      <c r="CI20" s="51">
        <v>1</v>
      </c>
      <c r="CJ20" s="51">
        <v>1</v>
      </c>
      <c r="CK20" s="51">
        <v>1</v>
      </c>
      <c r="CL20" s="51">
        <v>1</v>
      </c>
      <c r="CM20" s="51">
        <v>1</v>
      </c>
      <c r="CN20" s="51">
        <v>1</v>
      </c>
      <c r="CO20" s="51">
        <v>1</v>
      </c>
      <c r="CP20" s="51">
        <v>1</v>
      </c>
      <c r="CQ20" s="51">
        <v>1</v>
      </c>
      <c r="CR20" s="51">
        <v>1</v>
      </c>
      <c r="CS20" s="51">
        <v>1</v>
      </c>
      <c r="CT20" s="51">
        <v>1</v>
      </c>
      <c r="CU20" s="51">
        <v>1</v>
      </c>
      <c r="CV20" s="51">
        <v>1</v>
      </c>
      <c r="CW20" s="52">
        <v>1</v>
      </c>
      <c r="CX20" s="127"/>
      <c r="CY20" s="109"/>
      <c r="CZ20" s="109"/>
    </row>
    <row r="21" spans="1:104" ht="15.75" customHeight="1">
      <c r="A21" s="90" t="s">
        <v>192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2"/>
      <c r="CX21" s="127"/>
      <c r="CY21" s="109"/>
      <c r="CZ21" s="109"/>
    </row>
    <row r="22" spans="1:104" ht="15.75" customHeight="1">
      <c r="A22" s="90" t="s">
        <v>198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2"/>
      <c r="CX22" s="127"/>
      <c r="CY22" s="109"/>
      <c r="CZ22" s="109"/>
    </row>
    <row r="23" spans="1:104" s="95" customFormat="1" ht="15.75" customHeight="1">
      <c r="A23" s="94" t="s">
        <v>496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</row>
    <row r="24" spans="1:104" s="95" customFormat="1" ht="15.75" customHeight="1">
      <c r="A24" s="91" t="s">
        <v>497</v>
      </c>
      <c r="B24" s="116" t="s">
        <v>498</v>
      </c>
      <c r="C24" s="116" t="s">
        <v>517</v>
      </c>
      <c r="D24" s="116" t="s">
        <v>499</v>
      </c>
      <c r="E24" s="116" t="s">
        <v>500</v>
      </c>
      <c r="F24" s="51" t="s">
        <v>521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</row>
    <row r="25" spans="1:104" s="95" customFormat="1" ht="15.75" customHeight="1">
      <c r="A25" s="91" t="s">
        <v>501</v>
      </c>
      <c r="B25" s="116">
        <v>1</v>
      </c>
      <c r="C25" s="116">
        <v>1</v>
      </c>
      <c r="D25" s="116">
        <v>1</v>
      </c>
      <c r="E25" s="116">
        <v>1</v>
      </c>
      <c r="F25" s="51">
        <v>1</v>
      </c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</row>
    <row r="26" spans="1:104" s="95" customFormat="1" ht="15.75" customHeight="1">
      <c r="A26" s="91" t="s">
        <v>502</v>
      </c>
      <c r="B26" s="116"/>
      <c r="C26" s="116"/>
      <c r="D26" s="116"/>
      <c r="E26" s="116"/>
      <c r="F26" s="51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</row>
    <row r="27" spans="1:104" s="95" customFormat="1" ht="15.75" customHeight="1">
      <c r="A27" s="91"/>
      <c r="B27" s="168">
        <f>IF(B25=1,300*B26,IF(B25=2,410*B26,IF(B25=3,745*B26,0)))</f>
        <v>0</v>
      </c>
      <c r="C27" s="168">
        <f>IF(C25=1,420*C26,IF(C25=2,1275*C26,0))</f>
        <v>0</v>
      </c>
      <c r="D27" s="168">
        <f>IF(D25=1,810*D26,IF(D25=2,585*D26,0))</f>
        <v>0</v>
      </c>
      <c r="E27" s="168">
        <f>IF(E25=1,595*E26,IF(E25=2,590*E26,IF(E25=3,1100*E26,0)))</f>
        <v>0</v>
      </c>
      <c r="F27" s="168">
        <f>IF(F25=1,470*F26,IF(F25=2,700*F26,IF(F25=3,1700*F26,0)))</f>
        <v>0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</row>
    <row r="28" spans="1:23" s="95" customFormat="1" ht="15.75" customHeight="1">
      <c r="A28" s="94" t="s">
        <v>230</v>
      </c>
      <c r="B28" s="168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114"/>
      <c r="W28" s="114"/>
    </row>
    <row r="29" spans="1:25" s="95" customFormat="1" ht="15.75" customHeight="1">
      <c r="A29" s="91" t="s">
        <v>212</v>
      </c>
      <c r="B29" s="115" t="s">
        <v>216</v>
      </c>
      <c r="C29" s="207" t="s">
        <v>217</v>
      </c>
      <c r="D29" s="207"/>
      <c r="E29" s="207" t="s">
        <v>215</v>
      </c>
      <c r="F29" s="207"/>
      <c r="G29" s="207" t="s">
        <v>225</v>
      </c>
      <c r="H29" s="207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14"/>
      <c r="Y29" s="114"/>
    </row>
    <row r="30" spans="1:22" s="95" customFormat="1" ht="15.75" customHeight="1">
      <c r="A30" s="91" t="s">
        <v>213</v>
      </c>
      <c r="B30" s="116" t="s">
        <v>220</v>
      </c>
      <c r="C30" s="116" t="s">
        <v>220</v>
      </c>
      <c r="D30" s="116" t="s">
        <v>221</v>
      </c>
      <c r="E30" s="116" t="s">
        <v>220</v>
      </c>
      <c r="F30" s="116" t="s">
        <v>221</v>
      </c>
      <c r="G30" s="207" t="s">
        <v>220</v>
      </c>
      <c r="H30" s="208" t="s">
        <v>221</v>
      </c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14"/>
      <c r="V30" s="114"/>
    </row>
    <row r="31" spans="1:22" s="95" customFormat="1" ht="15.75" customHeight="1">
      <c r="A31" s="91" t="s">
        <v>223</v>
      </c>
      <c r="B31" s="51">
        <v>1</v>
      </c>
      <c r="C31" s="51">
        <v>1</v>
      </c>
      <c r="D31" s="51">
        <v>2</v>
      </c>
      <c r="E31" s="51">
        <v>1</v>
      </c>
      <c r="F31" s="51">
        <v>1</v>
      </c>
      <c r="G31" s="207"/>
      <c r="H31" s="2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14"/>
      <c r="V31" s="114"/>
    </row>
    <row r="32" spans="1:22" s="95" customFormat="1" ht="15.75" customHeight="1">
      <c r="A32" s="91" t="s">
        <v>222</v>
      </c>
      <c r="B32" s="51"/>
      <c r="C32" s="51"/>
      <c r="D32" s="51"/>
      <c r="E32" s="51"/>
      <c r="F32" s="51"/>
      <c r="G32" s="51"/>
      <c r="H32" s="51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14"/>
      <c r="V32" s="114"/>
    </row>
    <row r="33" spans="2:23" s="95" customFormat="1" ht="15.75" customHeight="1">
      <c r="B33" s="117">
        <f>IF(B$31=1,22.5*B$32,IF(B$31=2,24.5*B$32,0))</f>
        <v>0</v>
      </c>
      <c r="C33" s="117">
        <f>IF(C$31=1,10.45*C$32,IF(C$31=2,11.85*C$32,0))</f>
        <v>0</v>
      </c>
      <c r="D33" s="117">
        <f>IF(D$31=1,15.3*D$32,IF(D$31=2,16.7*D$32,0))</f>
        <v>0</v>
      </c>
      <c r="E33" s="117">
        <f>IF(E$31=1,8.25*E$32,IF(E$31=2,9.65*E$32,0))</f>
        <v>0</v>
      </c>
      <c r="F33" s="117">
        <f>IF(F$31=1,10*F$32,IF(F$31=2,11.4*F$32,0))</f>
        <v>0</v>
      </c>
      <c r="G33" s="117">
        <f>13.75*G32</f>
        <v>0</v>
      </c>
      <c r="H33" s="117">
        <f>21*H32</f>
        <v>0</v>
      </c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14"/>
      <c r="W33" s="114"/>
    </row>
    <row r="34" spans="2:23" s="95" customFormat="1" ht="15.75" customHeight="1">
      <c r="B34" s="118"/>
      <c r="C34" s="118"/>
      <c r="D34" s="118"/>
      <c r="E34" s="118"/>
      <c r="F34" s="118"/>
      <c r="G34" s="118"/>
      <c r="H34" s="118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14"/>
      <c r="W34" s="114"/>
    </row>
    <row r="35" spans="1:12" ht="12.75">
      <c r="A35" s="96" t="s">
        <v>164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01" ht="12.75">
      <c r="A36" s="97" t="s">
        <v>154</v>
      </c>
      <c r="B36" s="60">
        <f>IF(B$3=1,((0.0372*((B$114)^2))+(0.3267*(B$114))+15.926)*B$15,IF(B$3=2,((0.0634*((B$114)^2))-(0.6342*(B$114))+30.896)*B$15,0))</f>
        <v>0</v>
      </c>
      <c r="C36" s="60">
        <f aca="true" t="shared" si="7" ref="C36:BN36">IF(C$3=1,((0.0372*((C$114)^2))+(0.3267*(C$114))+15.926)*C$15,IF(C$3=2,((0.0634*((C$114)^2))-(0.6342*(C$114))+30.896)*C$15,0))</f>
        <v>0</v>
      </c>
      <c r="D36" s="60">
        <f t="shared" si="7"/>
        <v>0</v>
      </c>
      <c r="E36" s="60">
        <f t="shared" si="7"/>
        <v>0</v>
      </c>
      <c r="F36" s="60">
        <f t="shared" si="7"/>
        <v>0</v>
      </c>
      <c r="G36" s="60">
        <f t="shared" si="7"/>
        <v>0</v>
      </c>
      <c r="H36" s="60">
        <f t="shared" si="7"/>
        <v>0</v>
      </c>
      <c r="I36" s="60">
        <f t="shared" si="7"/>
        <v>0</v>
      </c>
      <c r="J36" s="60">
        <f t="shared" si="7"/>
        <v>0</v>
      </c>
      <c r="K36" s="60">
        <f t="shared" si="7"/>
        <v>0</v>
      </c>
      <c r="L36" s="60">
        <f t="shared" si="7"/>
        <v>0</v>
      </c>
      <c r="M36" s="60">
        <f t="shared" si="7"/>
        <v>0</v>
      </c>
      <c r="N36" s="60">
        <f t="shared" si="7"/>
        <v>0</v>
      </c>
      <c r="O36" s="60">
        <f t="shared" si="7"/>
        <v>0</v>
      </c>
      <c r="P36" s="60">
        <f t="shared" si="7"/>
        <v>0</v>
      </c>
      <c r="Q36" s="60">
        <f t="shared" si="7"/>
        <v>0</v>
      </c>
      <c r="R36" s="60">
        <f t="shared" si="7"/>
        <v>0</v>
      </c>
      <c r="S36" s="60">
        <f t="shared" si="7"/>
        <v>0</v>
      </c>
      <c r="T36" s="60">
        <f t="shared" si="7"/>
        <v>0</v>
      </c>
      <c r="U36" s="60">
        <f t="shared" si="7"/>
        <v>0</v>
      </c>
      <c r="V36" s="60">
        <f t="shared" si="7"/>
        <v>0</v>
      </c>
      <c r="W36" s="60">
        <f t="shared" si="7"/>
        <v>0</v>
      </c>
      <c r="X36" s="60">
        <f t="shared" si="7"/>
        <v>0</v>
      </c>
      <c r="Y36" s="60">
        <f t="shared" si="7"/>
        <v>0</v>
      </c>
      <c r="Z36" s="60">
        <f t="shared" si="7"/>
        <v>0</v>
      </c>
      <c r="AA36" s="60">
        <f t="shared" si="7"/>
        <v>0</v>
      </c>
      <c r="AB36" s="60">
        <f t="shared" si="7"/>
        <v>0</v>
      </c>
      <c r="AC36" s="60">
        <f t="shared" si="7"/>
        <v>0</v>
      </c>
      <c r="AD36" s="60">
        <f t="shared" si="7"/>
        <v>0</v>
      </c>
      <c r="AE36" s="60">
        <f t="shared" si="7"/>
        <v>0</v>
      </c>
      <c r="AF36" s="60">
        <f t="shared" si="7"/>
        <v>0</v>
      </c>
      <c r="AG36" s="60">
        <f t="shared" si="7"/>
        <v>0</v>
      </c>
      <c r="AH36" s="60">
        <f t="shared" si="7"/>
        <v>0</v>
      </c>
      <c r="AI36" s="60">
        <f t="shared" si="7"/>
        <v>0</v>
      </c>
      <c r="AJ36" s="60">
        <f t="shared" si="7"/>
        <v>0</v>
      </c>
      <c r="AK36" s="60">
        <f t="shared" si="7"/>
        <v>0</v>
      </c>
      <c r="AL36" s="60">
        <f t="shared" si="7"/>
        <v>0</v>
      </c>
      <c r="AM36" s="60">
        <f t="shared" si="7"/>
        <v>0</v>
      </c>
      <c r="AN36" s="60">
        <f t="shared" si="7"/>
        <v>0</v>
      </c>
      <c r="AO36" s="60">
        <f t="shared" si="7"/>
        <v>0</v>
      </c>
      <c r="AP36" s="60">
        <f t="shared" si="7"/>
        <v>0</v>
      </c>
      <c r="AQ36" s="60">
        <f t="shared" si="7"/>
        <v>0</v>
      </c>
      <c r="AR36" s="60">
        <f t="shared" si="7"/>
        <v>0</v>
      </c>
      <c r="AS36" s="60">
        <f t="shared" si="7"/>
        <v>0</v>
      </c>
      <c r="AT36" s="60">
        <f t="shared" si="7"/>
        <v>0</v>
      </c>
      <c r="AU36" s="60">
        <f t="shared" si="7"/>
        <v>0</v>
      </c>
      <c r="AV36" s="60">
        <f t="shared" si="7"/>
        <v>0</v>
      </c>
      <c r="AW36" s="60">
        <f t="shared" si="7"/>
        <v>0</v>
      </c>
      <c r="AX36" s="60">
        <f t="shared" si="7"/>
        <v>0</v>
      </c>
      <c r="AY36" s="60">
        <f t="shared" si="7"/>
        <v>0</v>
      </c>
      <c r="AZ36" s="60">
        <f t="shared" si="7"/>
        <v>0</v>
      </c>
      <c r="BA36" s="60">
        <f t="shared" si="7"/>
        <v>0</v>
      </c>
      <c r="BB36" s="60">
        <f t="shared" si="7"/>
        <v>0</v>
      </c>
      <c r="BC36" s="60">
        <f t="shared" si="7"/>
        <v>0</v>
      </c>
      <c r="BD36" s="60">
        <f t="shared" si="7"/>
        <v>0</v>
      </c>
      <c r="BE36" s="60">
        <f t="shared" si="7"/>
        <v>0</v>
      </c>
      <c r="BF36" s="60">
        <f t="shared" si="7"/>
        <v>0</v>
      </c>
      <c r="BG36" s="60">
        <f t="shared" si="7"/>
        <v>0</v>
      </c>
      <c r="BH36" s="60">
        <f t="shared" si="7"/>
        <v>0</v>
      </c>
      <c r="BI36" s="60">
        <f t="shared" si="7"/>
        <v>0</v>
      </c>
      <c r="BJ36" s="60">
        <f t="shared" si="7"/>
        <v>0</v>
      </c>
      <c r="BK36" s="60">
        <f t="shared" si="7"/>
        <v>0</v>
      </c>
      <c r="BL36" s="60">
        <f t="shared" si="7"/>
        <v>0</v>
      </c>
      <c r="BM36" s="60">
        <f t="shared" si="7"/>
        <v>0</v>
      </c>
      <c r="BN36" s="60">
        <f t="shared" si="7"/>
        <v>0</v>
      </c>
      <c r="BO36" s="60">
        <f aca="true" t="shared" si="8" ref="BO36:CW36">IF(BO$3=1,((0.0372*((BO$114)^2))+(0.3267*(BO$114))+15.926)*BO$15,IF(BO$3=2,((0.0634*((BO$114)^2))-(0.6342*(BO$114))+30.896)*BO$15,0))</f>
        <v>0</v>
      </c>
      <c r="BP36" s="60">
        <f t="shared" si="8"/>
        <v>0</v>
      </c>
      <c r="BQ36" s="60">
        <f t="shared" si="8"/>
        <v>0</v>
      </c>
      <c r="BR36" s="60">
        <f t="shared" si="8"/>
        <v>0</v>
      </c>
      <c r="BS36" s="60">
        <f t="shared" si="8"/>
        <v>0</v>
      </c>
      <c r="BT36" s="60">
        <f t="shared" si="8"/>
        <v>0</v>
      </c>
      <c r="BU36" s="60">
        <f t="shared" si="8"/>
        <v>0</v>
      </c>
      <c r="BV36" s="60">
        <f t="shared" si="8"/>
        <v>0</v>
      </c>
      <c r="BW36" s="60">
        <f t="shared" si="8"/>
        <v>0</v>
      </c>
      <c r="BX36" s="60">
        <f t="shared" si="8"/>
        <v>0</v>
      </c>
      <c r="BY36" s="60">
        <f t="shared" si="8"/>
        <v>0</v>
      </c>
      <c r="BZ36" s="60">
        <f t="shared" si="8"/>
        <v>0</v>
      </c>
      <c r="CA36" s="60">
        <f t="shared" si="8"/>
        <v>0</v>
      </c>
      <c r="CB36" s="60">
        <f t="shared" si="8"/>
        <v>0</v>
      </c>
      <c r="CC36" s="60">
        <f t="shared" si="8"/>
        <v>0</v>
      </c>
      <c r="CD36" s="60">
        <f t="shared" si="8"/>
        <v>0</v>
      </c>
      <c r="CE36" s="60">
        <f t="shared" si="8"/>
        <v>0</v>
      </c>
      <c r="CF36" s="60">
        <f t="shared" si="8"/>
        <v>0</v>
      </c>
      <c r="CG36" s="60">
        <f t="shared" si="8"/>
        <v>0</v>
      </c>
      <c r="CH36" s="60">
        <f t="shared" si="8"/>
        <v>0</v>
      </c>
      <c r="CI36" s="60">
        <f t="shared" si="8"/>
        <v>0</v>
      </c>
      <c r="CJ36" s="60">
        <f t="shared" si="8"/>
        <v>0</v>
      </c>
      <c r="CK36" s="60">
        <f t="shared" si="8"/>
        <v>0</v>
      </c>
      <c r="CL36" s="60">
        <f t="shared" si="8"/>
        <v>0</v>
      </c>
      <c r="CM36" s="60">
        <f t="shared" si="8"/>
        <v>0</v>
      </c>
      <c r="CN36" s="60">
        <f t="shared" si="8"/>
        <v>0</v>
      </c>
      <c r="CO36" s="60">
        <f t="shared" si="8"/>
        <v>0</v>
      </c>
      <c r="CP36" s="60">
        <f t="shared" si="8"/>
        <v>0</v>
      </c>
      <c r="CQ36" s="60">
        <f t="shared" si="8"/>
        <v>0</v>
      </c>
      <c r="CR36" s="60">
        <f t="shared" si="8"/>
        <v>0</v>
      </c>
      <c r="CS36" s="60">
        <f t="shared" si="8"/>
        <v>0</v>
      </c>
      <c r="CT36" s="60">
        <f t="shared" si="8"/>
        <v>0</v>
      </c>
      <c r="CU36" s="60">
        <f t="shared" si="8"/>
        <v>0</v>
      </c>
      <c r="CV36" s="60">
        <f t="shared" si="8"/>
        <v>0</v>
      </c>
      <c r="CW36" s="60">
        <f t="shared" si="8"/>
        <v>0</v>
      </c>
    </row>
    <row r="37" spans="1:101" ht="12.75">
      <c r="A37" s="97" t="s">
        <v>98</v>
      </c>
      <c r="B37" s="60">
        <f>IF(B$11=1,'trench data'!D25,IF(B11=2,'trench data'!D26,IF(B11=3,'trench data'!D27,0)))</f>
        <v>6.3</v>
      </c>
      <c r="C37" s="60">
        <f>IF(C11=1,'trench data'!D28,IF(C11=2,'trench data'!D29,IF(C11=3,'trench data'!D30,0)))</f>
        <v>6.3</v>
      </c>
      <c r="D37" s="60">
        <f>IF(D11=1,'trench data'!$D31,IF(D11=2,'trench data'!$D32,IF(D11=3,'trench data'!$D33,0)))</f>
        <v>6.3</v>
      </c>
      <c r="E37" s="60">
        <f>IF(E11=1,'trench data'!$D34,IF(E11=2,'trench data'!$D35,IF(E11=3,'trench data'!$D36,0)))</f>
        <v>6.3</v>
      </c>
      <c r="F37" s="60">
        <f>IF(F11=1,'trench data'!$D37,IF(F11=2,'trench data'!$D38,IF(F11=3,'trench data'!$D39,0)))</f>
        <v>6.3</v>
      </c>
      <c r="G37" s="60">
        <f>IF(G11=1,'trench data'!$D40,IF(G11=2,'trench data'!$D41,IF(G11=3,'trench data'!$D42,0)))</f>
        <v>6.3</v>
      </c>
      <c r="H37" s="60">
        <f>IF(H11=1,'trench data'!$D43,IF(H11=2,'trench data'!$D44,IF(H11=3,'trench data'!$D45,0)))</f>
        <v>6.3</v>
      </c>
      <c r="I37" s="60">
        <f>IF(I11=1,'trench data'!$D46,IF(I11=2,'trench data'!$D47,IF(I11=3,'trench data'!$D48,0)))</f>
        <v>6.3</v>
      </c>
      <c r="J37" s="60">
        <f>IF(J11=1,'trench data'!$D49,IF(J11=2,'trench data'!$D50,IF(J11=3,'trench data'!$D51,0)))</f>
        <v>6.3</v>
      </c>
      <c r="K37" s="60">
        <f>IF(K11=1,'trench data'!$D52,IF(K11=2,'trench data'!$D53,IF(K11=3,'trench data'!$D54,0)))</f>
        <v>6.3</v>
      </c>
      <c r="L37" s="60">
        <f>IF(L11=1,'trench data'!$D55,IF(L11=2,'trench data'!$D56,IF(L11=3,'trench data'!$D57,0)))</f>
        <v>6.3</v>
      </c>
      <c r="M37" s="60">
        <f>IF(M11=1,'trench data'!$D58,IF(M11=2,'trench data'!$D59,IF(M11=3,'trench data'!$D60,0)))</f>
        <v>6.3</v>
      </c>
      <c r="N37" s="60">
        <f>IF(N11=1,'trench data'!$D61,IF(N11=2,'trench data'!$D62,IF(N11=3,'trench data'!$D63,0)))</f>
        <v>6.3</v>
      </c>
      <c r="O37" s="60">
        <f>IF(O11=1,'trench data'!$D64,IF(O11=2,'trench data'!$D65,IF(O11=3,'trench data'!$D66,0)))</f>
        <v>6.3</v>
      </c>
      <c r="P37" s="60">
        <f>IF(P11=1,'trench data'!$D67,IF(P11=2,'trench data'!$D68,IF(P11=3,'trench data'!$D69,0)))</f>
        <v>6.3</v>
      </c>
      <c r="Q37" s="60">
        <f>IF(Q11=1,'trench data'!$D70,IF(Q11=2,'trench data'!$D71,IF(Q11=3,'trench data'!$D72,0)))</f>
        <v>6.3</v>
      </c>
      <c r="R37" s="60">
        <f>IF(R11=1,'trench data'!$D73,IF(R11=2,'trench data'!$D74,IF(R11=3,'trench data'!$D75,0)))</f>
        <v>6.3</v>
      </c>
      <c r="S37" s="60">
        <f>IF(S11=1,'trench data'!$D76,IF(S11=2,'trench data'!$D77,IF(S11=3,'trench data'!$D78,0)))</f>
        <v>6.3</v>
      </c>
      <c r="T37" s="60">
        <f>IF(T11=1,'trench data'!$D79,IF(T11=2,'trench data'!$D80,IF(T11=3,'trench data'!$D81,0)))</f>
        <v>6.3</v>
      </c>
      <c r="U37" s="60">
        <f>IF(U11=1,'trench data'!$D82,IF(U11=2,'trench data'!$D83,IF(U11=3,'trench data'!$D84,0)))</f>
        <v>6.3</v>
      </c>
      <c r="V37" s="60">
        <f>IF(V11=1,'trench data'!$D82,IF(V11=2,'trench data'!$D83,IF(V11=3,'trench data'!$D84,0)))</f>
        <v>6.3</v>
      </c>
      <c r="W37" s="60">
        <f>IF(W11=1,'trench data'!$D82,IF(W11=2,'trench data'!$D83,IF(W11=3,'trench data'!$D84,0)))</f>
        <v>6.3</v>
      </c>
      <c r="X37" s="60">
        <f>IF(X11=1,'trench data'!$D82,IF(X11=2,'trench data'!$D83,IF(X11=3,'trench data'!$D84,0)))</f>
        <v>6.3</v>
      </c>
      <c r="Y37" s="60">
        <f>IF(Y11=1,'trench data'!$D82,IF(Y11=2,'trench data'!$D83,IF(Y11=3,'trench data'!$D84,0)))</f>
        <v>6.3</v>
      </c>
      <c r="Z37" s="60">
        <f>IF(Z11=1,'trench data'!$D82,IF(Z11=2,'trench data'!$D83,IF(Z11=3,'trench data'!$D84,0)))</f>
        <v>6.3</v>
      </c>
      <c r="AA37" s="60">
        <f>IF(AA11=1,'trench data'!$D82,IF(AA11=2,'trench data'!$D83,IF(AA11=3,'trench data'!$D84,0)))</f>
        <v>6.3</v>
      </c>
      <c r="AB37" s="60">
        <f>IF(AB11=1,'trench data'!$D82,IF(AB11=2,'trench data'!$D83,IF(AB11=3,'trench data'!$D84,0)))</f>
        <v>6.3</v>
      </c>
      <c r="AC37" s="60">
        <f>IF(AC11=1,'trench data'!$D82,IF(AC11=2,'trench data'!$D83,IF(AC11=3,'trench data'!$D84,0)))</f>
        <v>6.3</v>
      </c>
      <c r="AD37" s="60">
        <f>IF(AD11=1,'trench data'!$D82,IF(AD11=2,'trench data'!$D83,IF(AD11=3,'trench data'!$D84,0)))</f>
        <v>6.3</v>
      </c>
      <c r="AE37" s="60">
        <f>IF(AE11=1,'trench data'!$D82,IF(AE11=2,'trench data'!$D83,IF(AE11=3,'trench data'!$D84,0)))</f>
        <v>6.3</v>
      </c>
      <c r="AF37" s="60">
        <f>IF(AF11=1,'trench data'!$D82,IF(AF11=2,'trench data'!$D83,IF(AF11=3,'trench data'!$D84,0)))</f>
        <v>6.3</v>
      </c>
      <c r="AG37" s="60">
        <f>IF(AG11=1,'trench data'!$D82,IF(AG11=2,'trench data'!$D83,IF(AG11=3,'trench data'!$D84,0)))</f>
        <v>6.3</v>
      </c>
      <c r="AH37" s="60">
        <f>IF(AH11=1,'trench data'!$D82,IF(AH11=2,'trench data'!$D83,IF(AH11=3,'trench data'!$D84,0)))</f>
        <v>6.3</v>
      </c>
      <c r="AI37" s="60">
        <f>IF(AI11=1,'trench data'!$D82,IF(AI11=2,'trench data'!$D83,IF(AI11=3,'trench data'!$D84,0)))</f>
        <v>6.3</v>
      </c>
      <c r="AJ37" s="60">
        <f>IF(AJ11=1,'trench data'!$D82,IF(AJ11=2,'trench data'!$D83,IF(AJ11=3,'trench data'!$D84,0)))</f>
        <v>6.3</v>
      </c>
      <c r="AK37" s="60">
        <f>IF(AK11=1,'trench data'!$D82,IF(AK11=2,'trench data'!$D83,IF(AK11=3,'trench data'!$D84,0)))</f>
        <v>6.3</v>
      </c>
      <c r="AL37" s="60">
        <f>IF(AL11=1,'trench data'!$D82,IF(AL11=2,'trench data'!$D83,IF(AL11=3,'trench data'!$D84,0)))</f>
        <v>6.3</v>
      </c>
      <c r="AM37" s="60">
        <f>IF(AM11=1,'trench data'!$D82,IF(AM11=2,'trench data'!$D83,IF(AM11=3,'trench data'!$D84,0)))</f>
        <v>6.3</v>
      </c>
      <c r="AN37" s="60">
        <f>IF(AN11=1,'trench data'!$D82,IF(AN11=2,'trench data'!$D83,IF(AN11=3,'trench data'!$D84,0)))</f>
        <v>6.3</v>
      </c>
      <c r="AO37" s="60">
        <f>IF(AO11=1,'trench data'!$D82,IF(AO11=2,'trench data'!$D83,IF(AO11=3,'trench data'!$D84,0)))</f>
        <v>6.3</v>
      </c>
      <c r="AP37" s="60">
        <f>IF(AP11=1,'trench data'!$D82,IF(AP11=2,'trench data'!$D83,IF(AP11=3,'trench data'!$D84,0)))</f>
        <v>6.3</v>
      </c>
      <c r="AQ37" s="60">
        <f>IF(AQ11=1,'trench data'!$D82,IF(AQ11=2,'trench data'!$D83,IF(AQ11=3,'trench data'!$D84,0)))</f>
        <v>6.3</v>
      </c>
      <c r="AR37" s="60">
        <f>IF(AR11=1,'trench data'!$D82,IF(AR11=2,'trench data'!$D83,IF(AR11=3,'trench data'!$D84,0)))</f>
        <v>6.3</v>
      </c>
      <c r="AS37" s="60">
        <f>IF(AS11=1,'trench data'!$D82,IF(AS11=2,'trench data'!$D83,IF(AS11=3,'trench data'!$D84,0)))</f>
        <v>6.3</v>
      </c>
      <c r="AT37" s="60">
        <f>IF(AT11=1,'trench data'!$D82,IF(AT11=2,'trench data'!$D83,IF(AT11=3,'trench data'!$D84,0)))</f>
        <v>6.3</v>
      </c>
      <c r="AU37" s="60">
        <f>IF(AU11=1,'trench data'!$D82,IF(AU11=2,'trench data'!$D83,IF(AU11=3,'trench data'!$D84,0)))</f>
        <v>6.3</v>
      </c>
      <c r="AV37" s="60">
        <f>IF(AV11=1,'trench data'!$D82,IF(AV11=2,'trench data'!$D83,IF(AV11=3,'trench data'!$D84,0)))</f>
        <v>6.3</v>
      </c>
      <c r="AW37" s="60">
        <f>IF(AW11=1,'trench data'!$D82,IF(AW11=2,'trench data'!$D83,IF(AW11=3,'trench data'!$D84,0)))</f>
        <v>6.3</v>
      </c>
      <c r="AX37" s="60">
        <f>IF(AX11=1,'trench data'!$D82,IF(AX11=2,'trench data'!$D83,IF(AX11=3,'trench data'!$D84,0)))</f>
        <v>6.3</v>
      </c>
      <c r="AY37" s="60">
        <f>IF(AY11=1,'trench data'!$D82,IF(AY11=2,'trench data'!$D83,IF(AY11=3,'trench data'!$D84,0)))</f>
        <v>6.3</v>
      </c>
      <c r="AZ37" s="60">
        <f>IF(AZ11=1,'trench data'!$D82,IF(AZ11=2,'trench data'!$D83,IF(AZ11=3,'trench data'!$D84,0)))</f>
        <v>6.3</v>
      </c>
      <c r="BA37" s="60">
        <f>IF(BA11=1,'trench data'!$D82,IF(BA11=2,'trench data'!$D83,IF(BA11=3,'trench data'!$D84,0)))</f>
        <v>6.3</v>
      </c>
      <c r="BB37" s="60">
        <f>IF(BB11=1,'trench data'!$D82,IF(BB11=2,'trench data'!$D83,IF(BB11=3,'trench data'!$D84,0)))</f>
        <v>6.3</v>
      </c>
      <c r="BC37" s="60">
        <f>IF(BC11=1,'trench data'!$D82,IF(BC11=2,'trench data'!$D83,IF(BC11=3,'trench data'!$D84,0)))</f>
        <v>6.3</v>
      </c>
      <c r="BD37" s="60">
        <f>IF(BD11=1,'trench data'!$D82,IF(BD11=2,'trench data'!$D83,IF(BD11=3,'trench data'!$D84,0)))</f>
        <v>6.3</v>
      </c>
      <c r="BE37" s="60">
        <f>IF(BE11=1,'trench data'!$D82,IF(BE11=2,'trench data'!$D83,IF(BE11=3,'trench data'!$D84,0)))</f>
        <v>6.3</v>
      </c>
      <c r="BF37" s="60">
        <f>IF(BF11=1,'trench data'!$D82,IF(BF11=2,'trench data'!$D83,IF(BF11=3,'trench data'!$D84,0)))</f>
        <v>6.3</v>
      </c>
      <c r="BG37" s="60">
        <f>IF(BG11=1,'trench data'!$D82,IF(BG11=2,'trench data'!$D83,IF(BG11=3,'trench data'!$D84,0)))</f>
        <v>6.3</v>
      </c>
      <c r="BH37" s="60">
        <f>IF(BH11=1,'trench data'!$D82,IF(BH11=2,'trench data'!$D83,IF(BH11=3,'trench data'!$D84,0)))</f>
        <v>6.3</v>
      </c>
      <c r="BI37" s="60">
        <f>IF(BI11=1,'trench data'!$D82,IF(BI11=2,'trench data'!$D83,IF(BI11=3,'trench data'!$D84,0)))</f>
        <v>6.3</v>
      </c>
      <c r="BJ37" s="60">
        <f>IF(BJ11=1,'trench data'!$D82,IF(BJ11=2,'trench data'!$D83,IF(BJ11=3,'trench data'!$D84,0)))</f>
        <v>6.3</v>
      </c>
      <c r="BK37" s="60">
        <f>IF(BK11=1,'trench data'!$D82,IF(BK11=2,'trench data'!$D83,IF(BK11=3,'trench data'!$D84,0)))</f>
        <v>6.3</v>
      </c>
      <c r="BL37" s="60">
        <f>IF(BL11=1,'trench data'!$D82,IF(BL11=2,'trench data'!$D83,IF(BL11=3,'trench data'!$D84,0)))</f>
        <v>6.3</v>
      </c>
      <c r="BM37" s="60">
        <f>IF(BM11=1,'trench data'!$D82,IF(BM11=2,'trench data'!$D83,IF(BM11=3,'trench data'!$D84,0)))</f>
        <v>6.3</v>
      </c>
      <c r="BN37" s="60">
        <f>IF(BN11=1,'trench data'!$D82,IF(BN11=2,'trench data'!$D83,IF(BN11=3,'trench data'!$D84,0)))</f>
        <v>6.3</v>
      </c>
      <c r="BO37" s="60">
        <f>IF(BO11=1,'trench data'!$D82,IF(BO11=2,'trench data'!$D83,IF(BO11=3,'trench data'!$D84,0)))</f>
        <v>6.3</v>
      </c>
      <c r="BP37" s="60">
        <f>IF(BP11=1,'trench data'!$D82,IF(BP11=2,'trench data'!$D83,IF(BP11=3,'trench data'!$D84,0)))</f>
        <v>6.3</v>
      </c>
      <c r="BQ37" s="60">
        <f>IF(BQ11=1,'trench data'!$D82,IF(BQ11=2,'trench data'!$D83,IF(BQ11=3,'trench data'!$D84,0)))</f>
        <v>6.3</v>
      </c>
      <c r="BR37" s="60">
        <f>IF(BR11=1,'trench data'!$D82,IF(BR11=2,'trench data'!$D83,IF(BR11=3,'trench data'!$D84,0)))</f>
        <v>6.3</v>
      </c>
      <c r="BS37" s="60">
        <f>IF(BS11=1,'trench data'!$D82,IF(BS11=2,'trench data'!$D83,IF(BS11=3,'trench data'!$D84,0)))</f>
        <v>6.3</v>
      </c>
      <c r="BT37" s="60">
        <f>IF(BT11=1,'trench data'!$D82,IF(BT11=2,'trench data'!$D83,IF(BT11=3,'trench data'!$D84,0)))</f>
        <v>6.3</v>
      </c>
      <c r="BU37" s="60">
        <f>IF(BU11=1,'trench data'!$D82,IF(BU11=2,'trench data'!$D83,IF(BU11=3,'trench data'!$D84,0)))</f>
        <v>6.3</v>
      </c>
      <c r="BV37" s="60">
        <f>IF(BV11=1,'trench data'!$D82,IF(BV11=2,'trench data'!$D83,IF(BV11=3,'trench data'!$D84,0)))</f>
        <v>6.3</v>
      </c>
      <c r="BW37" s="60">
        <f>IF(BW11=1,'trench data'!$D82,IF(BW11=2,'trench data'!$D83,IF(BW11=3,'trench data'!$D84,0)))</f>
        <v>6.3</v>
      </c>
      <c r="BX37" s="60">
        <f>IF(BX11=1,'trench data'!$D82,IF(BX11=2,'trench data'!$D83,IF(BX11=3,'trench data'!$D84,0)))</f>
        <v>6.3</v>
      </c>
      <c r="BY37" s="60">
        <f>IF(BY11=1,'trench data'!$D82,IF(BY11=2,'trench data'!$D83,IF(BY11=3,'trench data'!$D84,0)))</f>
        <v>6.3</v>
      </c>
      <c r="BZ37" s="60">
        <f>IF(BZ11=1,'trench data'!$D82,IF(BZ11=2,'trench data'!$D83,IF(BZ11=3,'trench data'!$D84,0)))</f>
        <v>6.3</v>
      </c>
      <c r="CA37" s="60">
        <f>IF(CA11=1,'trench data'!$D82,IF(CA11=2,'trench data'!$D83,IF(CA11=3,'trench data'!$D84,0)))</f>
        <v>6.3</v>
      </c>
      <c r="CB37" s="60">
        <f>IF(CB11=1,'trench data'!$D82,IF(CB11=2,'trench data'!$D83,IF(CB11=3,'trench data'!$D84,0)))</f>
        <v>6.3</v>
      </c>
      <c r="CC37" s="60">
        <f>IF(CC11=1,'trench data'!$D82,IF(CC11=2,'trench data'!$D83,IF(CC11=3,'trench data'!$D84,0)))</f>
        <v>6.3</v>
      </c>
      <c r="CD37" s="60">
        <f>IF(CD11=1,'trench data'!$D82,IF(CD11=2,'trench data'!$D83,IF(CD11=3,'trench data'!$D84,0)))</f>
        <v>6.3</v>
      </c>
      <c r="CE37" s="60">
        <f>IF(CE11=1,'trench data'!$D82,IF(CE11=2,'trench data'!$D83,IF(CE11=3,'trench data'!$D84,0)))</f>
        <v>6.3</v>
      </c>
      <c r="CF37" s="60">
        <f>IF(CF11=1,'trench data'!$D82,IF(CF11=2,'trench data'!$D83,IF(CF11=3,'trench data'!$D84,0)))</f>
        <v>6.3</v>
      </c>
      <c r="CG37" s="60">
        <f>IF(CG11=1,'trench data'!$D82,IF(CG11=2,'trench data'!$D83,IF(CG11=3,'trench data'!$D84,0)))</f>
        <v>6.3</v>
      </c>
      <c r="CH37" s="60">
        <f>IF(CH11=1,'trench data'!$D82,IF(CH11=2,'trench data'!$D83,IF(CH11=3,'trench data'!$D84,0)))</f>
        <v>6.3</v>
      </c>
      <c r="CI37" s="60">
        <f>IF(CI11=1,'trench data'!$D82,IF(CI11=2,'trench data'!$D83,IF(CI11=3,'trench data'!$D84,0)))</f>
        <v>6.3</v>
      </c>
      <c r="CJ37" s="60">
        <f>IF(CJ11=1,'trench data'!$D82,IF(CJ11=2,'trench data'!$D83,IF(CJ11=3,'trench data'!$D84,0)))</f>
        <v>6.3</v>
      </c>
      <c r="CK37" s="60">
        <f>IF(CK11=1,'trench data'!$D82,IF(CK11=2,'trench data'!$D83,IF(CK11=3,'trench data'!$D84,0)))</f>
        <v>6.3</v>
      </c>
      <c r="CL37" s="60">
        <f>IF(CL11=1,'trench data'!$D82,IF(CL11=2,'trench data'!$D83,IF(CL11=3,'trench data'!$D84,0)))</f>
        <v>6.3</v>
      </c>
      <c r="CM37" s="60">
        <f>IF(CM11=1,'trench data'!$D82,IF(CM11=2,'trench data'!$D83,IF(CM11=3,'trench data'!$D84,0)))</f>
        <v>6.3</v>
      </c>
      <c r="CN37" s="60">
        <f>IF(CN11=1,'trench data'!$D82,IF(CN11=2,'trench data'!$D83,IF(CN11=3,'trench data'!$D84,0)))</f>
        <v>6.3</v>
      </c>
      <c r="CO37" s="60">
        <f>IF(CO11=1,'trench data'!$D82,IF(CO11=2,'trench data'!$D83,IF(CO11=3,'trench data'!$D84,0)))</f>
        <v>6.3</v>
      </c>
      <c r="CP37" s="60">
        <f>IF(CP11=1,'trench data'!$D82,IF(CP11=2,'trench data'!$D83,IF(CP11=3,'trench data'!$D84,0)))</f>
        <v>6.3</v>
      </c>
      <c r="CQ37" s="60">
        <f>IF(CQ11=1,'trench data'!$D82,IF(CQ11=2,'trench data'!$D83,IF(CQ11=3,'trench data'!$D84,0)))</f>
        <v>6.3</v>
      </c>
      <c r="CR37" s="60">
        <f>IF(CR11=1,'trench data'!$D82,IF(CR11=2,'trench data'!$D83,IF(CR11=3,'trench data'!$D84,0)))</f>
        <v>6.3</v>
      </c>
      <c r="CS37" s="60">
        <f>IF(CS11=1,'trench data'!$D82,IF(CS11=2,'trench data'!$D83,IF(CS11=3,'trench data'!$D84,0)))</f>
        <v>6.3</v>
      </c>
      <c r="CT37" s="60">
        <f>IF(CT11=1,'trench data'!$D82,IF(CT11=2,'trench data'!$D83,IF(CT11=3,'trench data'!$D84,0)))</f>
        <v>6.3</v>
      </c>
      <c r="CU37" s="60">
        <f>IF(CU11=1,'trench data'!$D82,IF(CU11=2,'trench data'!$D83,IF(CU11=3,'trench data'!$D84,0)))</f>
        <v>6.3</v>
      </c>
      <c r="CV37" s="60">
        <f>IF(CV11=1,'trench data'!$D82,IF(CV11=2,'trench data'!$D83,IF(CV11=3,'trench data'!$D84,0)))</f>
        <v>6.3</v>
      </c>
      <c r="CW37" s="60">
        <f>IF(CW11=1,'trench data'!$D82,IF(CW11=2,'trench data'!$D83,IF(CW11=3,'trench data'!$D84,0)))</f>
        <v>6.3</v>
      </c>
    </row>
    <row r="38" spans="1:101" s="90" customFormat="1" ht="12.75">
      <c r="A38" s="97" t="s">
        <v>125</v>
      </c>
      <c r="B38" s="60">
        <f aca="true" t="shared" si="9" ref="B38:AG38">0.5*B10*12*(B5+B8)*(B15*12)*0.000021*B37</f>
        <v>0</v>
      </c>
      <c r="C38" s="60">
        <f t="shared" si="9"/>
        <v>0</v>
      </c>
      <c r="D38" s="60">
        <f t="shared" si="9"/>
        <v>0</v>
      </c>
      <c r="E38" s="60">
        <f t="shared" si="9"/>
        <v>0</v>
      </c>
      <c r="F38" s="60">
        <f t="shared" si="9"/>
        <v>0</v>
      </c>
      <c r="G38" s="60">
        <f t="shared" si="9"/>
        <v>0</v>
      </c>
      <c r="H38" s="60">
        <f t="shared" si="9"/>
        <v>0</v>
      </c>
      <c r="I38" s="60">
        <f t="shared" si="9"/>
        <v>0</v>
      </c>
      <c r="J38" s="60">
        <f t="shared" si="9"/>
        <v>0</v>
      </c>
      <c r="K38" s="60">
        <f t="shared" si="9"/>
        <v>0</v>
      </c>
      <c r="L38" s="60">
        <f t="shared" si="9"/>
        <v>0</v>
      </c>
      <c r="M38" s="60">
        <f t="shared" si="9"/>
        <v>0</v>
      </c>
      <c r="N38" s="60">
        <f t="shared" si="9"/>
        <v>0</v>
      </c>
      <c r="O38" s="60">
        <f t="shared" si="9"/>
        <v>0</v>
      </c>
      <c r="P38" s="60">
        <f t="shared" si="9"/>
        <v>0</v>
      </c>
      <c r="Q38" s="60">
        <f t="shared" si="9"/>
        <v>0</v>
      </c>
      <c r="R38" s="60">
        <f t="shared" si="9"/>
        <v>0</v>
      </c>
      <c r="S38" s="60">
        <f t="shared" si="9"/>
        <v>0</v>
      </c>
      <c r="T38" s="60">
        <f t="shared" si="9"/>
        <v>0</v>
      </c>
      <c r="U38" s="60">
        <f t="shared" si="9"/>
        <v>0</v>
      </c>
      <c r="V38" s="60">
        <f t="shared" si="9"/>
        <v>0</v>
      </c>
      <c r="W38" s="60">
        <f t="shared" si="9"/>
        <v>0</v>
      </c>
      <c r="X38" s="60">
        <f t="shared" si="9"/>
        <v>0</v>
      </c>
      <c r="Y38" s="60">
        <f t="shared" si="9"/>
        <v>0</v>
      </c>
      <c r="Z38" s="60">
        <f t="shared" si="9"/>
        <v>0</v>
      </c>
      <c r="AA38" s="60">
        <f t="shared" si="9"/>
        <v>0</v>
      </c>
      <c r="AB38" s="60">
        <f t="shared" si="9"/>
        <v>0</v>
      </c>
      <c r="AC38" s="60">
        <f t="shared" si="9"/>
        <v>0</v>
      </c>
      <c r="AD38" s="60">
        <f t="shared" si="9"/>
        <v>0</v>
      </c>
      <c r="AE38" s="60">
        <f t="shared" si="9"/>
        <v>0</v>
      </c>
      <c r="AF38" s="60">
        <f t="shared" si="9"/>
        <v>0</v>
      </c>
      <c r="AG38" s="60">
        <f t="shared" si="9"/>
        <v>0</v>
      </c>
      <c r="AH38" s="60">
        <f aca="true" t="shared" si="10" ref="AH38:BM38">0.5*AH10*12*(AH5+AH8)*(AH15*12)*0.000021*AH37</f>
        <v>0</v>
      </c>
      <c r="AI38" s="60">
        <f t="shared" si="10"/>
        <v>0</v>
      </c>
      <c r="AJ38" s="60">
        <f t="shared" si="10"/>
        <v>0</v>
      </c>
      <c r="AK38" s="60">
        <f t="shared" si="10"/>
        <v>0</v>
      </c>
      <c r="AL38" s="60">
        <f t="shared" si="10"/>
        <v>0</v>
      </c>
      <c r="AM38" s="60">
        <f t="shared" si="10"/>
        <v>0</v>
      </c>
      <c r="AN38" s="60">
        <f t="shared" si="10"/>
        <v>0</v>
      </c>
      <c r="AO38" s="60">
        <f t="shared" si="10"/>
        <v>0</v>
      </c>
      <c r="AP38" s="60">
        <f t="shared" si="10"/>
        <v>0</v>
      </c>
      <c r="AQ38" s="60">
        <f t="shared" si="10"/>
        <v>0</v>
      </c>
      <c r="AR38" s="60">
        <f t="shared" si="10"/>
        <v>0</v>
      </c>
      <c r="AS38" s="60">
        <f t="shared" si="10"/>
        <v>0</v>
      </c>
      <c r="AT38" s="60">
        <f t="shared" si="10"/>
        <v>0</v>
      </c>
      <c r="AU38" s="60">
        <f t="shared" si="10"/>
        <v>0</v>
      </c>
      <c r="AV38" s="60">
        <f t="shared" si="10"/>
        <v>0</v>
      </c>
      <c r="AW38" s="60">
        <f t="shared" si="10"/>
        <v>0</v>
      </c>
      <c r="AX38" s="60">
        <f t="shared" si="10"/>
        <v>0</v>
      </c>
      <c r="AY38" s="60">
        <f t="shared" si="10"/>
        <v>0</v>
      </c>
      <c r="AZ38" s="60">
        <f t="shared" si="10"/>
        <v>0</v>
      </c>
      <c r="BA38" s="60">
        <f t="shared" si="10"/>
        <v>0</v>
      </c>
      <c r="BB38" s="60">
        <f t="shared" si="10"/>
        <v>0</v>
      </c>
      <c r="BC38" s="60">
        <f t="shared" si="10"/>
        <v>0</v>
      </c>
      <c r="BD38" s="60">
        <f t="shared" si="10"/>
        <v>0</v>
      </c>
      <c r="BE38" s="60">
        <f t="shared" si="10"/>
        <v>0</v>
      </c>
      <c r="BF38" s="60">
        <f t="shared" si="10"/>
        <v>0</v>
      </c>
      <c r="BG38" s="60">
        <f t="shared" si="10"/>
        <v>0</v>
      </c>
      <c r="BH38" s="60">
        <f t="shared" si="10"/>
        <v>0</v>
      </c>
      <c r="BI38" s="60">
        <f t="shared" si="10"/>
        <v>0</v>
      </c>
      <c r="BJ38" s="60">
        <f t="shared" si="10"/>
        <v>0</v>
      </c>
      <c r="BK38" s="60">
        <f t="shared" si="10"/>
        <v>0</v>
      </c>
      <c r="BL38" s="60">
        <f t="shared" si="10"/>
        <v>0</v>
      </c>
      <c r="BM38" s="60">
        <f t="shared" si="10"/>
        <v>0</v>
      </c>
      <c r="BN38" s="60">
        <f aca="true" t="shared" si="11" ref="BN38:CS38">0.5*BN10*12*(BN5+BN8)*(BN15*12)*0.000021*BN37</f>
        <v>0</v>
      </c>
      <c r="BO38" s="60">
        <f t="shared" si="11"/>
        <v>0</v>
      </c>
      <c r="BP38" s="60">
        <f t="shared" si="11"/>
        <v>0</v>
      </c>
      <c r="BQ38" s="60">
        <f t="shared" si="11"/>
        <v>0</v>
      </c>
      <c r="BR38" s="60">
        <f t="shared" si="11"/>
        <v>0</v>
      </c>
      <c r="BS38" s="60">
        <f t="shared" si="11"/>
        <v>0</v>
      </c>
      <c r="BT38" s="60">
        <f t="shared" si="11"/>
        <v>0</v>
      </c>
      <c r="BU38" s="60">
        <f t="shared" si="11"/>
        <v>0</v>
      </c>
      <c r="BV38" s="60">
        <f t="shared" si="11"/>
        <v>0</v>
      </c>
      <c r="BW38" s="60">
        <f t="shared" si="11"/>
        <v>0</v>
      </c>
      <c r="BX38" s="60">
        <f t="shared" si="11"/>
        <v>0</v>
      </c>
      <c r="BY38" s="60">
        <f t="shared" si="11"/>
        <v>0</v>
      </c>
      <c r="BZ38" s="60">
        <f t="shared" si="11"/>
        <v>0</v>
      </c>
      <c r="CA38" s="60">
        <f t="shared" si="11"/>
        <v>0</v>
      </c>
      <c r="CB38" s="60">
        <f t="shared" si="11"/>
        <v>0</v>
      </c>
      <c r="CC38" s="60">
        <f t="shared" si="11"/>
        <v>0</v>
      </c>
      <c r="CD38" s="60">
        <f t="shared" si="11"/>
        <v>0</v>
      </c>
      <c r="CE38" s="60">
        <f t="shared" si="11"/>
        <v>0</v>
      </c>
      <c r="CF38" s="60">
        <f t="shared" si="11"/>
        <v>0</v>
      </c>
      <c r="CG38" s="60">
        <f t="shared" si="11"/>
        <v>0</v>
      </c>
      <c r="CH38" s="60">
        <f t="shared" si="11"/>
        <v>0</v>
      </c>
      <c r="CI38" s="60">
        <f t="shared" si="11"/>
        <v>0</v>
      </c>
      <c r="CJ38" s="60">
        <f t="shared" si="11"/>
        <v>0</v>
      </c>
      <c r="CK38" s="60">
        <f t="shared" si="11"/>
        <v>0</v>
      </c>
      <c r="CL38" s="60">
        <f t="shared" si="11"/>
        <v>0</v>
      </c>
      <c r="CM38" s="60">
        <f t="shared" si="11"/>
        <v>0</v>
      </c>
      <c r="CN38" s="60">
        <f t="shared" si="11"/>
        <v>0</v>
      </c>
      <c r="CO38" s="60">
        <f t="shared" si="11"/>
        <v>0</v>
      </c>
      <c r="CP38" s="60">
        <f t="shared" si="11"/>
        <v>0</v>
      </c>
      <c r="CQ38" s="60">
        <f t="shared" si="11"/>
        <v>0</v>
      </c>
      <c r="CR38" s="60">
        <f t="shared" si="11"/>
        <v>0</v>
      </c>
      <c r="CS38" s="60">
        <f t="shared" si="11"/>
        <v>0</v>
      </c>
      <c r="CT38" s="60">
        <f>0.5*CT10*12*(CT5+CT8)*(CT15*12)*0.000021*CT37</f>
        <v>0</v>
      </c>
      <c r="CU38" s="60">
        <f>0.5*CU10*12*(CU5+CU8)*(CU15*12)*0.000021*CU37</f>
        <v>0</v>
      </c>
      <c r="CV38" s="60">
        <f>0.5*CV10*12*(CV5+CV8)*(CV15*12)*0.000021*CV37</f>
        <v>0</v>
      </c>
      <c r="CW38" s="60">
        <f>0.5*CW10*12*(CW5+CW8)*(CW15*12)*0.000021*CW37</f>
        <v>0</v>
      </c>
    </row>
    <row r="39" spans="1:101" ht="12.75">
      <c r="A39" s="97" t="s">
        <v>134</v>
      </c>
      <c r="B39" s="60">
        <f>IF(B$12=1,35.61,IF(B$12=2,43.61,IF(B$12=3,17.81,0)))</f>
        <v>35.61</v>
      </c>
      <c r="C39" s="60">
        <f>IF(C$12=1,35.61,IF(C$12=2,43.61,IF(C$12=3,17.81,0)))</f>
        <v>35.61</v>
      </c>
      <c r="D39" s="60">
        <f aca="true" t="shared" si="12" ref="D39:BO39">IF(D$12=1,35.61,IF(D$12=2,43.61,IF(D$12=3,17.81,0)))</f>
        <v>35.61</v>
      </c>
      <c r="E39" s="60">
        <f t="shared" si="12"/>
        <v>35.61</v>
      </c>
      <c r="F39" s="60">
        <f t="shared" si="12"/>
        <v>35.61</v>
      </c>
      <c r="G39" s="60">
        <f t="shared" si="12"/>
        <v>35.61</v>
      </c>
      <c r="H39" s="60">
        <f t="shared" si="12"/>
        <v>35.61</v>
      </c>
      <c r="I39" s="60">
        <f t="shared" si="12"/>
        <v>35.61</v>
      </c>
      <c r="J39" s="60">
        <f t="shared" si="12"/>
        <v>35.61</v>
      </c>
      <c r="K39" s="60">
        <f t="shared" si="12"/>
        <v>35.61</v>
      </c>
      <c r="L39" s="60">
        <f t="shared" si="12"/>
        <v>35.61</v>
      </c>
      <c r="M39" s="60">
        <f t="shared" si="12"/>
        <v>35.61</v>
      </c>
      <c r="N39" s="60">
        <f t="shared" si="12"/>
        <v>35.61</v>
      </c>
      <c r="O39" s="60">
        <f t="shared" si="12"/>
        <v>35.61</v>
      </c>
      <c r="P39" s="60">
        <f t="shared" si="12"/>
        <v>35.61</v>
      </c>
      <c r="Q39" s="60">
        <f t="shared" si="12"/>
        <v>35.61</v>
      </c>
      <c r="R39" s="60">
        <f t="shared" si="12"/>
        <v>35.61</v>
      </c>
      <c r="S39" s="60">
        <f t="shared" si="12"/>
        <v>35.61</v>
      </c>
      <c r="T39" s="60">
        <f t="shared" si="12"/>
        <v>35.61</v>
      </c>
      <c r="U39" s="60">
        <f t="shared" si="12"/>
        <v>35.61</v>
      </c>
      <c r="V39" s="60">
        <f t="shared" si="12"/>
        <v>35.61</v>
      </c>
      <c r="W39" s="60">
        <f t="shared" si="12"/>
        <v>35.61</v>
      </c>
      <c r="X39" s="60">
        <f t="shared" si="12"/>
        <v>35.61</v>
      </c>
      <c r="Y39" s="60">
        <f t="shared" si="12"/>
        <v>35.61</v>
      </c>
      <c r="Z39" s="60">
        <f t="shared" si="12"/>
        <v>35.61</v>
      </c>
      <c r="AA39" s="60">
        <f t="shared" si="12"/>
        <v>35.61</v>
      </c>
      <c r="AB39" s="60">
        <f t="shared" si="12"/>
        <v>35.61</v>
      </c>
      <c r="AC39" s="60">
        <f t="shared" si="12"/>
        <v>35.61</v>
      </c>
      <c r="AD39" s="60">
        <f t="shared" si="12"/>
        <v>35.61</v>
      </c>
      <c r="AE39" s="60">
        <f t="shared" si="12"/>
        <v>35.61</v>
      </c>
      <c r="AF39" s="60">
        <f t="shared" si="12"/>
        <v>35.61</v>
      </c>
      <c r="AG39" s="60">
        <f t="shared" si="12"/>
        <v>35.61</v>
      </c>
      <c r="AH39" s="60">
        <f t="shared" si="12"/>
        <v>35.61</v>
      </c>
      <c r="AI39" s="60">
        <f t="shared" si="12"/>
        <v>35.61</v>
      </c>
      <c r="AJ39" s="60">
        <f t="shared" si="12"/>
        <v>35.61</v>
      </c>
      <c r="AK39" s="60">
        <f t="shared" si="12"/>
        <v>35.61</v>
      </c>
      <c r="AL39" s="60">
        <f t="shared" si="12"/>
        <v>35.61</v>
      </c>
      <c r="AM39" s="60">
        <f t="shared" si="12"/>
        <v>35.61</v>
      </c>
      <c r="AN39" s="60">
        <f t="shared" si="12"/>
        <v>35.61</v>
      </c>
      <c r="AO39" s="60">
        <f t="shared" si="12"/>
        <v>35.61</v>
      </c>
      <c r="AP39" s="60">
        <f t="shared" si="12"/>
        <v>35.61</v>
      </c>
      <c r="AQ39" s="60">
        <f t="shared" si="12"/>
        <v>35.61</v>
      </c>
      <c r="AR39" s="60">
        <f t="shared" si="12"/>
        <v>35.61</v>
      </c>
      <c r="AS39" s="60">
        <f t="shared" si="12"/>
        <v>35.61</v>
      </c>
      <c r="AT39" s="60">
        <f t="shared" si="12"/>
        <v>35.61</v>
      </c>
      <c r="AU39" s="60">
        <f t="shared" si="12"/>
        <v>35.61</v>
      </c>
      <c r="AV39" s="60">
        <f t="shared" si="12"/>
        <v>35.61</v>
      </c>
      <c r="AW39" s="60">
        <f t="shared" si="12"/>
        <v>35.61</v>
      </c>
      <c r="AX39" s="60">
        <f t="shared" si="12"/>
        <v>35.61</v>
      </c>
      <c r="AY39" s="60">
        <f t="shared" si="12"/>
        <v>35.61</v>
      </c>
      <c r="AZ39" s="60">
        <f t="shared" si="12"/>
        <v>35.61</v>
      </c>
      <c r="BA39" s="60">
        <f t="shared" si="12"/>
        <v>35.61</v>
      </c>
      <c r="BB39" s="60">
        <f t="shared" si="12"/>
        <v>35.61</v>
      </c>
      <c r="BC39" s="60">
        <f t="shared" si="12"/>
        <v>35.61</v>
      </c>
      <c r="BD39" s="60">
        <f t="shared" si="12"/>
        <v>35.61</v>
      </c>
      <c r="BE39" s="60">
        <f t="shared" si="12"/>
        <v>35.61</v>
      </c>
      <c r="BF39" s="60">
        <f t="shared" si="12"/>
        <v>35.61</v>
      </c>
      <c r="BG39" s="60">
        <f t="shared" si="12"/>
        <v>35.61</v>
      </c>
      <c r="BH39" s="60">
        <f t="shared" si="12"/>
        <v>35.61</v>
      </c>
      <c r="BI39" s="60">
        <f t="shared" si="12"/>
        <v>35.61</v>
      </c>
      <c r="BJ39" s="60">
        <f t="shared" si="12"/>
        <v>35.61</v>
      </c>
      <c r="BK39" s="60">
        <f t="shared" si="12"/>
        <v>35.61</v>
      </c>
      <c r="BL39" s="60">
        <f t="shared" si="12"/>
        <v>35.61</v>
      </c>
      <c r="BM39" s="60">
        <f t="shared" si="12"/>
        <v>35.61</v>
      </c>
      <c r="BN39" s="60">
        <f t="shared" si="12"/>
        <v>35.61</v>
      </c>
      <c r="BO39" s="60">
        <f t="shared" si="12"/>
        <v>35.61</v>
      </c>
      <c r="BP39" s="60">
        <f aca="true" t="shared" si="13" ref="BP39:CW39">IF(BP$12=1,35.61,IF(BP$12=2,43.61,IF(BP$12=3,17.81,0)))</f>
        <v>35.61</v>
      </c>
      <c r="BQ39" s="60">
        <f t="shared" si="13"/>
        <v>35.61</v>
      </c>
      <c r="BR39" s="60">
        <f t="shared" si="13"/>
        <v>35.61</v>
      </c>
      <c r="BS39" s="60">
        <f t="shared" si="13"/>
        <v>35.61</v>
      </c>
      <c r="BT39" s="60">
        <f t="shared" si="13"/>
        <v>35.61</v>
      </c>
      <c r="BU39" s="60">
        <f t="shared" si="13"/>
        <v>35.61</v>
      </c>
      <c r="BV39" s="60">
        <f t="shared" si="13"/>
        <v>35.61</v>
      </c>
      <c r="BW39" s="60">
        <f t="shared" si="13"/>
        <v>35.61</v>
      </c>
      <c r="BX39" s="60">
        <f t="shared" si="13"/>
        <v>35.61</v>
      </c>
      <c r="BY39" s="60">
        <f t="shared" si="13"/>
        <v>35.61</v>
      </c>
      <c r="BZ39" s="60">
        <f t="shared" si="13"/>
        <v>35.61</v>
      </c>
      <c r="CA39" s="60">
        <f t="shared" si="13"/>
        <v>35.61</v>
      </c>
      <c r="CB39" s="60">
        <f t="shared" si="13"/>
        <v>35.61</v>
      </c>
      <c r="CC39" s="60">
        <f t="shared" si="13"/>
        <v>35.61</v>
      </c>
      <c r="CD39" s="60">
        <f t="shared" si="13"/>
        <v>35.61</v>
      </c>
      <c r="CE39" s="60">
        <f t="shared" si="13"/>
        <v>35.61</v>
      </c>
      <c r="CF39" s="60">
        <f t="shared" si="13"/>
        <v>35.61</v>
      </c>
      <c r="CG39" s="60">
        <f t="shared" si="13"/>
        <v>35.61</v>
      </c>
      <c r="CH39" s="60">
        <f t="shared" si="13"/>
        <v>35.61</v>
      </c>
      <c r="CI39" s="60">
        <f t="shared" si="13"/>
        <v>35.61</v>
      </c>
      <c r="CJ39" s="60">
        <f t="shared" si="13"/>
        <v>35.61</v>
      </c>
      <c r="CK39" s="60">
        <f t="shared" si="13"/>
        <v>35.61</v>
      </c>
      <c r="CL39" s="60">
        <f t="shared" si="13"/>
        <v>35.61</v>
      </c>
      <c r="CM39" s="60">
        <f t="shared" si="13"/>
        <v>35.61</v>
      </c>
      <c r="CN39" s="60">
        <f t="shared" si="13"/>
        <v>35.61</v>
      </c>
      <c r="CO39" s="60">
        <f t="shared" si="13"/>
        <v>35.61</v>
      </c>
      <c r="CP39" s="60">
        <f t="shared" si="13"/>
        <v>35.61</v>
      </c>
      <c r="CQ39" s="60">
        <f t="shared" si="13"/>
        <v>35.61</v>
      </c>
      <c r="CR39" s="60">
        <f t="shared" si="13"/>
        <v>35.61</v>
      </c>
      <c r="CS39" s="60">
        <f t="shared" si="13"/>
        <v>35.61</v>
      </c>
      <c r="CT39" s="60">
        <f t="shared" si="13"/>
        <v>35.61</v>
      </c>
      <c r="CU39" s="60">
        <f t="shared" si="13"/>
        <v>35.61</v>
      </c>
      <c r="CV39" s="60">
        <f t="shared" si="13"/>
        <v>35.61</v>
      </c>
      <c r="CW39" s="60">
        <f t="shared" si="13"/>
        <v>35.61</v>
      </c>
    </row>
    <row r="40" spans="1:101" s="90" customFormat="1" ht="12.75">
      <c r="A40" s="97" t="s">
        <v>4</v>
      </c>
      <c r="B40" s="56">
        <f aca="true" t="shared" si="14" ref="B40:AG40">IF(B$7=1,0.5*B$6*((2*B$5)+(2*B$6))*B$15*12*B$39*0.000021,IF(B$7=2,0.5*B$6*((2*B$5)+(4*B$6))*B$15*12*B$39*0.000021,IF(B$7=3,0.5*B$6*(2*B$5)*B$15*12*B$39*0.000021,IF(B$7=4,0.5*B$6*((2*B$5)+B$6)*B$15*12*B$39*0.000021,IF(B$7=5,0.5*B$6*(B$5+(3*B$6)*B$15*12*B$39*0.000021),0)))))</f>
        <v>0</v>
      </c>
      <c r="C40" s="56">
        <f t="shared" si="14"/>
        <v>0</v>
      </c>
      <c r="D40" s="56">
        <f t="shared" si="14"/>
        <v>0</v>
      </c>
      <c r="E40" s="56">
        <f t="shared" si="14"/>
        <v>0</v>
      </c>
      <c r="F40" s="56">
        <f t="shared" si="14"/>
        <v>0</v>
      </c>
      <c r="G40" s="56">
        <f t="shared" si="14"/>
        <v>0</v>
      </c>
      <c r="H40" s="56">
        <f t="shared" si="14"/>
        <v>0</v>
      </c>
      <c r="I40" s="56">
        <f t="shared" si="14"/>
        <v>0</v>
      </c>
      <c r="J40" s="56">
        <f t="shared" si="14"/>
        <v>0</v>
      </c>
      <c r="K40" s="56">
        <f t="shared" si="14"/>
        <v>0</v>
      </c>
      <c r="L40" s="56">
        <f t="shared" si="14"/>
        <v>0</v>
      </c>
      <c r="M40" s="56">
        <f t="shared" si="14"/>
        <v>0</v>
      </c>
      <c r="N40" s="56">
        <f t="shared" si="14"/>
        <v>0</v>
      </c>
      <c r="O40" s="56">
        <f t="shared" si="14"/>
        <v>0</v>
      </c>
      <c r="P40" s="56">
        <f t="shared" si="14"/>
        <v>0</v>
      </c>
      <c r="Q40" s="56">
        <f t="shared" si="14"/>
        <v>0</v>
      </c>
      <c r="R40" s="56">
        <f t="shared" si="14"/>
        <v>0</v>
      </c>
      <c r="S40" s="56">
        <f t="shared" si="14"/>
        <v>0</v>
      </c>
      <c r="T40" s="56">
        <f t="shared" si="14"/>
        <v>0</v>
      </c>
      <c r="U40" s="56">
        <f t="shared" si="14"/>
        <v>0</v>
      </c>
      <c r="V40" s="56">
        <f t="shared" si="14"/>
        <v>0</v>
      </c>
      <c r="W40" s="56">
        <f t="shared" si="14"/>
        <v>0</v>
      </c>
      <c r="X40" s="56">
        <f t="shared" si="14"/>
        <v>0</v>
      </c>
      <c r="Y40" s="56">
        <f t="shared" si="14"/>
        <v>0</v>
      </c>
      <c r="Z40" s="56">
        <f t="shared" si="14"/>
        <v>0</v>
      </c>
      <c r="AA40" s="56">
        <f t="shared" si="14"/>
        <v>0</v>
      </c>
      <c r="AB40" s="56">
        <f t="shared" si="14"/>
        <v>0</v>
      </c>
      <c r="AC40" s="56">
        <f t="shared" si="14"/>
        <v>0</v>
      </c>
      <c r="AD40" s="56">
        <f t="shared" si="14"/>
        <v>0</v>
      </c>
      <c r="AE40" s="56">
        <f t="shared" si="14"/>
        <v>0</v>
      </c>
      <c r="AF40" s="56">
        <f t="shared" si="14"/>
        <v>0</v>
      </c>
      <c r="AG40" s="56">
        <f t="shared" si="14"/>
        <v>0</v>
      </c>
      <c r="AH40" s="56">
        <f aca="true" t="shared" si="15" ref="AH40:BM40">IF(AH$7=1,0.5*AH$6*((2*AH$5)+(2*AH$6))*AH$15*12*AH$39*0.000021,IF(AH$7=2,0.5*AH$6*((2*AH$5)+(4*AH$6))*AH$15*12*AH$39*0.000021,IF(AH$7=3,0.5*AH$6*(2*AH$5)*AH$15*12*AH$39*0.000021,IF(AH$7=4,0.5*AH$6*((2*AH$5)+AH$6)*AH$15*12*AH$39*0.000021,IF(AH$7=5,0.5*AH$6*(AH$5+(3*AH$6)*AH$15*12*AH$39*0.000021),0)))))</f>
        <v>0</v>
      </c>
      <c r="AI40" s="56">
        <f t="shared" si="15"/>
        <v>0</v>
      </c>
      <c r="AJ40" s="56">
        <f t="shared" si="15"/>
        <v>0</v>
      </c>
      <c r="AK40" s="56">
        <f t="shared" si="15"/>
        <v>0</v>
      </c>
      <c r="AL40" s="56">
        <f t="shared" si="15"/>
        <v>0</v>
      </c>
      <c r="AM40" s="56">
        <f t="shared" si="15"/>
        <v>0</v>
      </c>
      <c r="AN40" s="56">
        <f t="shared" si="15"/>
        <v>0</v>
      </c>
      <c r="AO40" s="56">
        <f t="shared" si="15"/>
        <v>0</v>
      </c>
      <c r="AP40" s="56">
        <f t="shared" si="15"/>
        <v>0</v>
      </c>
      <c r="AQ40" s="56">
        <f t="shared" si="15"/>
        <v>0</v>
      </c>
      <c r="AR40" s="56">
        <f t="shared" si="15"/>
        <v>0</v>
      </c>
      <c r="AS40" s="56">
        <f t="shared" si="15"/>
        <v>0</v>
      </c>
      <c r="AT40" s="56">
        <f t="shared" si="15"/>
        <v>0</v>
      </c>
      <c r="AU40" s="56">
        <f t="shared" si="15"/>
        <v>0</v>
      </c>
      <c r="AV40" s="56">
        <f t="shared" si="15"/>
        <v>0</v>
      </c>
      <c r="AW40" s="56">
        <f t="shared" si="15"/>
        <v>0</v>
      </c>
      <c r="AX40" s="56">
        <f t="shared" si="15"/>
        <v>0</v>
      </c>
      <c r="AY40" s="56">
        <f t="shared" si="15"/>
        <v>0</v>
      </c>
      <c r="AZ40" s="56">
        <f t="shared" si="15"/>
        <v>0</v>
      </c>
      <c r="BA40" s="56">
        <f t="shared" si="15"/>
        <v>0</v>
      </c>
      <c r="BB40" s="56">
        <f t="shared" si="15"/>
        <v>0</v>
      </c>
      <c r="BC40" s="56">
        <f t="shared" si="15"/>
        <v>0</v>
      </c>
      <c r="BD40" s="56">
        <f t="shared" si="15"/>
        <v>0</v>
      </c>
      <c r="BE40" s="56">
        <f t="shared" si="15"/>
        <v>0</v>
      </c>
      <c r="BF40" s="56">
        <f t="shared" si="15"/>
        <v>0</v>
      </c>
      <c r="BG40" s="56">
        <f t="shared" si="15"/>
        <v>0</v>
      </c>
      <c r="BH40" s="56">
        <f t="shared" si="15"/>
        <v>0</v>
      </c>
      <c r="BI40" s="56">
        <f t="shared" si="15"/>
        <v>0</v>
      </c>
      <c r="BJ40" s="56">
        <f t="shared" si="15"/>
        <v>0</v>
      </c>
      <c r="BK40" s="56">
        <f t="shared" si="15"/>
        <v>0</v>
      </c>
      <c r="BL40" s="56">
        <f t="shared" si="15"/>
        <v>0</v>
      </c>
      <c r="BM40" s="56">
        <f t="shared" si="15"/>
        <v>0</v>
      </c>
      <c r="BN40" s="56">
        <f aca="true" t="shared" si="16" ref="BN40:CW40">IF(BN$7=1,0.5*BN$6*((2*BN$5)+(2*BN$6))*BN$15*12*BN$39*0.000021,IF(BN$7=2,0.5*BN$6*((2*BN$5)+(4*BN$6))*BN$15*12*BN$39*0.000021,IF(BN$7=3,0.5*BN$6*(2*BN$5)*BN$15*12*BN$39*0.000021,IF(BN$7=4,0.5*BN$6*((2*BN$5)+BN$6)*BN$15*12*BN$39*0.000021,IF(BN$7=5,0.5*BN$6*(BN$5+(3*BN$6)*BN$15*12*BN$39*0.000021),0)))))</f>
        <v>0</v>
      </c>
      <c r="BO40" s="56">
        <f t="shared" si="16"/>
        <v>0</v>
      </c>
      <c r="BP40" s="56">
        <f t="shared" si="16"/>
        <v>0</v>
      </c>
      <c r="BQ40" s="56">
        <f t="shared" si="16"/>
        <v>0</v>
      </c>
      <c r="BR40" s="56">
        <f t="shared" si="16"/>
        <v>0</v>
      </c>
      <c r="BS40" s="56">
        <f t="shared" si="16"/>
        <v>0</v>
      </c>
      <c r="BT40" s="56">
        <f t="shared" si="16"/>
        <v>0</v>
      </c>
      <c r="BU40" s="56">
        <f t="shared" si="16"/>
        <v>0</v>
      </c>
      <c r="BV40" s="56">
        <f t="shared" si="16"/>
        <v>0</v>
      </c>
      <c r="BW40" s="56">
        <f t="shared" si="16"/>
        <v>0</v>
      </c>
      <c r="BX40" s="56">
        <f t="shared" si="16"/>
        <v>0</v>
      </c>
      <c r="BY40" s="56">
        <f t="shared" si="16"/>
        <v>0</v>
      </c>
      <c r="BZ40" s="56">
        <f t="shared" si="16"/>
        <v>0</v>
      </c>
      <c r="CA40" s="56">
        <f t="shared" si="16"/>
        <v>0</v>
      </c>
      <c r="CB40" s="56">
        <f t="shared" si="16"/>
        <v>0</v>
      </c>
      <c r="CC40" s="56">
        <f t="shared" si="16"/>
        <v>0</v>
      </c>
      <c r="CD40" s="56">
        <f t="shared" si="16"/>
        <v>0</v>
      </c>
      <c r="CE40" s="56">
        <f t="shared" si="16"/>
        <v>0</v>
      </c>
      <c r="CF40" s="56">
        <f t="shared" si="16"/>
        <v>0</v>
      </c>
      <c r="CG40" s="56">
        <f t="shared" si="16"/>
        <v>0</v>
      </c>
      <c r="CH40" s="56">
        <f t="shared" si="16"/>
        <v>0</v>
      </c>
      <c r="CI40" s="56">
        <f t="shared" si="16"/>
        <v>0</v>
      </c>
      <c r="CJ40" s="56">
        <f t="shared" si="16"/>
        <v>0</v>
      </c>
      <c r="CK40" s="56">
        <f t="shared" si="16"/>
        <v>0</v>
      </c>
      <c r="CL40" s="56">
        <f t="shared" si="16"/>
        <v>0</v>
      </c>
      <c r="CM40" s="56">
        <f t="shared" si="16"/>
        <v>0</v>
      </c>
      <c r="CN40" s="56">
        <f t="shared" si="16"/>
        <v>0</v>
      </c>
      <c r="CO40" s="56">
        <f t="shared" si="16"/>
        <v>0</v>
      </c>
      <c r="CP40" s="56">
        <f t="shared" si="16"/>
        <v>0</v>
      </c>
      <c r="CQ40" s="56">
        <f t="shared" si="16"/>
        <v>0</v>
      </c>
      <c r="CR40" s="56">
        <f t="shared" si="16"/>
        <v>0</v>
      </c>
      <c r="CS40" s="56">
        <f t="shared" si="16"/>
        <v>0</v>
      </c>
      <c r="CT40" s="56">
        <f t="shared" si="16"/>
        <v>0</v>
      </c>
      <c r="CU40" s="56">
        <f t="shared" si="16"/>
        <v>0</v>
      </c>
      <c r="CV40" s="56">
        <f t="shared" si="16"/>
        <v>0</v>
      </c>
      <c r="CW40" s="56">
        <f t="shared" si="16"/>
        <v>0</v>
      </c>
    </row>
    <row r="41" spans="1:101" s="111" customFormat="1" ht="12.75">
      <c r="A41" s="98" t="s">
        <v>138</v>
      </c>
      <c r="B41" s="56">
        <f>VLOOKUP(B$13,'backfill &amp; bedding'!$A$19:$D$21,B$14+2,0)</f>
        <v>2.21</v>
      </c>
      <c r="C41" s="56">
        <f>VLOOKUP(C$13,'backfill &amp; bedding'!$A$19:$D$21,C$14+2,0)</f>
        <v>2.21</v>
      </c>
      <c r="D41" s="56">
        <f>VLOOKUP(D$13,'backfill &amp; bedding'!$A$19:$D$21,D$14+2,0)</f>
        <v>2.21</v>
      </c>
      <c r="E41" s="56">
        <f>VLOOKUP(E$13,'backfill &amp; bedding'!$A$19:$D$21,E$14+2,0)</f>
        <v>2.21</v>
      </c>
      <c r="F41" s="56">
        <f>VLOOKUP(F$13,'backfill &amp; bedding'!$A$19:$D$21,F$14+2,0)</f>
        <v>2.21</v>
      </c>
      <c r="G41" s="56">
        <f>VLOOKUP(G$13,'backfill &amp; bedding'!$A$19:$D$21,G$14+2,0)</f>
        <v>2.21</v>
      </c>
      <c r="H41" s="56">
        <f>VLOOKUP(H$13,'backfill &amp; bedding'!$A$19:$D$21,H$14+2,0)</f>
        <v>2.21</v>
      </c>
      <c r="I41" s="56">
        <f>VLOOKUP(I$13,'backfill &amp; bedding'!$A$19:$D$21,I$14+2,0)</f>
        <v>2.21</v>
      </c>
      <c r="J41" s="56">
        <f>VLOOKUP(J$13,'backfill &amp; bedding'!$A$19:$D$21,J$14+2,0)</f>
        <v>2.21</v>
      </c>
      <c r="K41" s="56">
        <f>VLOOKUP(K$13,'backfill &amp; bedding'!$A$19:$D$21,K$14+2,0)</f>
        <v>2.21</v>
      </c>
      <c r="L41" s="56">
        <f>VLOOKUP(L$13,'backfill &amp; bedding'!$A$19:$D$21,L$14+2,0)</f>
        <v>2.21</v>
      </c>
      <c r="M41" s="56">
        <f>VLOOKUP(M$13,'backfill &amp; bedding'!$A$19:$D$21,M$14+2,0)</f>
        <v>2.21</v>
      </c>
      <c r="N41" s="56">
        <f>VLOOKUP(N$13,'backfill &amp; bedding'!$A$19:$D$21,N$14+2,0)</f>
        <v>2.21</v>
      </c>
      <c r="O41" s="56">
        <f>VLOOKUP(O$13,'backfill &amp; bedding'!$A$19:$D$21,O$14+2,0)</f>
        <v>2.21</v>
      </c>
      <c r="P41" s="56">
        <f>VLOOKUP(P$13,'backfill &amp; bedding'!$A$19:$D$21,P$14+2,0)</f>
        <v>2.21</v>
      </c>
      <c r="Q41" s="56">
        <f>VLOOKUP(Q$13,'backfill &amp; bedding'!$A$19:$D$21,Q$14+2,0)</f>
        <v>2.21</v>
      </c>
      <c r="R41" s="56">
        <f>VLOOKUP(R$13,'backfill &amp; bedding'!$A$19:$D$21,R$14+2,0)</f>
        <v>2.21</v>
      </c>
      <c r="S41" s="56">
        <f>VLOOKUP(S$13,'backfill &amp; bedding'!$A$19:$D$21,S$14+2,0)</f>
        <v>2.21</v>
      </c>
      <c r="T41" s="56">
        <f>VLOOKUP(T$13,'backfill &amp; bedding'!$A$19:$D$21,T$14+2,0)</f>
        <v>2.21</v>
      </c>
      <c r="U41" s="56">
        <f>VLOOKUP(U$13,'backfill &amp; bedding'!$A$19:$D$21,U$14+2,0)</f>
        <v>2.21</v>
      </c>
      <c r="V41" s="56">
        <f>VLOOKUP(V$13,'backfill &amp; bedding'!$A$19:$D$21,V$14+2,0)</f>
        <v>2.21</v>
      </c>
      <c r="W41" s="56">
        <f>VLOOKUP(W$13,'backfill &amp; bedding'!$A$19:$D$21,W$14+2,0)</f>
        <v>2.21</v>
      </c>
      <c r="X41" s="56">
        <f>VLOOKUP(X$13,'backfill &amp; bedding'!$A$19:$D$21,X$14+2,0)</f>
        <v>2.21</v>
      </c>
      <c r="Y41" s="56">
        <f>VLOOKUP(Y$13,'backfill &amp; bedding'!$A$19:$D$21,Y$14+2,0)</f>
        <v>2.21</v>
      </c>
      <c r="Z41" s="56">
        <f>VLOOKUP(Z$13,'backfill &amp; bedding'!$A$19:$D$21,Z$14+2,0)</f>
        <v>2.21</v>
      </c>
      <c r="AA41" s="56">
        <f>VLOOKUP(AA$13,'backfill &amp; bedding'!$A$19:$D$21,AA$14+2,0)</f>
        <v>2.21</v>
      </c>
      <c r="AB41" s="56">
        <f>VLOOKUP(AB$13,'backfill &amp; bedding'!$A$19:$D$21,AB$14+2,0)</f>
        <v>2.21</v>
      </c>
      <c r="AC41" s="56">
        <f>VLOOKUP(AC$13,'backfill &amp; bedding'!$A$19:$D$21,AC$14+2,0)</f>
        <v>2.21</v>
      </c>
      <c r="AD41" s="56">
        <f>VLOOKUP(AD$13,'backfill &amp; bedding'!$A$19:$D$21,AD$14+2,0)</f>
        <v>2.21</v>
      </c>
      <c r="AE41" s="56">
        <f>VLOOKUP(AE$13,'backfill &amp; bedding'!$A$19:$D$21,AE$14+2,0)</f>
        <v>2.21</v>
      </c>
      <c r="AF41" s="56">
        <f>VLOOKUP(AF$13,'backfill &amp; bedding'!$A$19:$D$21,AF$14+2,0)</f>
        <v>2.21</v>
      </c>
      <c r="AG41" s="56">
        <f>VLOOKUP(AG$13,'backfill &amp; bedding'!$A$19:$D$21,AG$14+2,0)</f>
        <v>2.21</v>
      </c>
      <c r="AH41" s="56">
        <f>VLOOKUP(AH$13,'backfill &amp; bedding'!$A$19:$D$21,AH$14+2,0)</f>
        <v>2.21</v>
      </c>
      <c r="AI41" s="56">
        <f>VLOOKUP(AI$13,'backfill &amp; bedding'!$A$19:$D$21,AI$14+2,0)</f>
        <v>2.21</v>
      </c>
      <c r="AJ41" s="56">
        <f>VLOOKUP(AJ$13,'backfill &amp; bedding'!$A$19:$D$21,AJ$14+2,0)</f>
        <v>2.21</v>
      </c>
      <c r="AK41" s="56">
        <f>VLOOKUP(AK$13,'backfill &amp; bedding'!$A$19:$D$21,AK$14+2,0)</f>
        <v>2.21</v>
      </c>
      <c r="AL41" s="56">
        <f>VLOOKUP(AL$13,'backfill &amp; bedding'!$A$19:$D$21,AL$14+2,0)</f>
        <v>2.21</v>
      </c>
      <c r="AM41" s="56">
        <f>VLOOKUP(AM$13,'backfill &amp; bedding'!$A$19:$D$21,AM$14+2,0)</f>
        <v>2.21</v>
      </c>
      <c r="AN41" s="56">
        <f>VLOOKUP(AN$13,'backfill &amp; bedding'!$A$19:$D$21,AN$14+2,0)</f>
        <v>2.21</v>
      </c>
      <c r="AO41" s="56">
        <f>VLOOKUP(AO$13,'backfill &amp; bedding'!$A$19:$D$21,AO$14+2,0)</f>
        <v>2.21</v>
      </c>
      <c r="AP41" s="56">
        <f>VLOOKUP(AP$13,'backfill &amp; bedding'!$A$19:$D$21,AP$14+2,0)</f>
        <v>2.21</v>
      </c>
      <c r="AQ41" s="56">
        <f>VLOOKUP(AQ$13,'backfill &amp; bedding'!$A$19:$D$21,AQ$14+2,0)</f>
        <v>2.21</v>
      </c>
      <c r="AR41" s="56">
        <f>VLOOKUP(AR$13,'backfill &amp; bedding'!$A$19:$D$21,AR$14+2,0)</f>
        <v>2.21</v>
      </c>
      <c r="AS41" s="56">
        <f>VLOOKUP(AS$13,'backfill &amp; bedding'!$A$19:$D$21,AS$14+2,0)</f>
        <v>2.21</v>
      </c>
      <c r="AT41" s="56">
        <f>VLOOKUP(AT$13,'backfill &amp; bedding'!$A$19:$D$21,AT$14+2,0)</f>
        <v>2.21</v>
      </c>
      <c r="AU41" s="56">
        <f>VLOOKUP(AU$13,'backfill &amp; bedding'!$A$19:$D$21,AU$14+2,0)</f>
        <v>2.21</v>
      </c>
      <c r="AV41" s="56">
        <f>VLOOKUP(AV$13,'backfill &amp; bedding'!$A$19:$D$21,AV$14+2,0)</f>
        <v>2.21</v>
      </c>
      <c r="AW41" s="56">
        <f>VLOOKUP(AW$13,'backfill &amp; bedding'!$A$19:$D$21,AW$14+2,0)</f>
        <v>2.21</v>
      </c>
      <c r="AX41" s="56">
        <f>VLOOKUP(AX$13,'backfill &amp; bedding'!$A$19:$D$21,AX$14+2,0)</f>
        <v>2.21</v>
      </c>
      <c r="AY41" s="56">
        <f>VLOOKUP(AY$13,'backfill &amp; bedding'!$A$19:$D$21,AY$14+2,0)</f>
        <v>2.21</v>
      </c>
      <c r="AZ41" s="56">
        <f>VLOOKUP(AZ$13,'backfill &amp; bedding'!$A$19:$D$21,AZ$14+2,0)</f>
        <v>2.21</v>
      </c>
      <c r="BA41" s="56">
        <f>VLOOKUP(BA$13,'backfill &amp; bedding'!$A$19:$D$21,BA$14+2,0)</f>
        <v>2.21</v>
      </c>
      <c r="BB41" s="56">
        <f>VLOOKUP(BB$13,'backfill &amp; bedding'!$A$19:$D$21,BB$14+2,0)</f>
        <v>2.21</v>
      </c>
      <c r="BC41" s="56">
        <f>VLOOKUP(BC$13,'backfill &amp; bedding'!$A$19:$D$21,BC$14+2,0)</f>
        <v>2.21</v>
      </c>
      <c r="BD41" s="56">
        <f>VLOOKUP(BD$13,'backfill &amp; bedding'!$A$19:$D$21,BD$14+2,0)</f>
        <v>2.21</v>
      </c>
      <c r="BE41" s="56">
        <f>VLOOKUP(BE$13,'backfill &amp; bedding'!$A$19:$D$21,BE$14+2,0)</f>
        <v>2.21</v>
      </c>
      <c r="BF41" s="56">
        <f>VLOOKUP(BF$13,'backfill &amp; bedding'!$A$19:$D$21,BF$14+2,0)</f>
        <v>2.21</v>
      </c>
      <c r="BG41" s="56">
        <f>VLOOKUP(BG$13,'backfill &amp; bedding'!$A$19:$D$21,BG$14+2,0)</f>
        <v>2.21</v>
      </c>
      <c r="BH41" s="56">
        <f>VLOOKUP(BH$13,'backfill &amp; bedding'!$A$19:$D$21,BH$14+2,0)</f>
        <v>2.21</v>
      </c>
      <c r="BI41" s="56">
        <f>VLOOKUP(BI$13,'backfill &amp; bedding'!$A$19:$D$21,BI$14+2,0)</f>
        <v>2.21</v>
      </c>
      <c r="BJ41" s="56">
        <f>VLOOKUP(BJ$13,'backfill &amp; bedding'!$A$19:$D$21,BJ$14+2,0)</f>
        <v>2.21</v>
      </c>
      <c r="BK41" s="56">
        <f>VLOOKUP(BK$13,'backfill &amp; bedding'!$A$19:$D$21,BK$14+2,0)</f>
        <v>2.21</v>
      </c>
      <c r="BL41" s="56">
        <f>VLOOKUP(BL$13,'backfill &amp; bedding'!$A$19:$D$21,BL$14+2,0)</f>
        <v>2.21</v>
      </c>
      <c r="BM41" s="56">
        <f>VLOOKUP(BM$13,'backfill &amp; bedding'!$A$19:$D$21,BM$14+2,0)</f>
        <v>2.21</v>
      </c>
      <c r="BN41" s="56">
        <f>VLOOKUP(BN$13,'backfill &amp; bedding'!$A$19:$D$21,BN$14+2,0)</f>
        <v>2.21</v>
      </c>
      <c r="BO41" s="56">
        <f>VLOOKUP(BO$13,'backfill &amp; bedding'!$A$19:$D$21,BO$14+2,0)</f>
        <v>2.21</v>
      </c>
      <c r="BP41" s="56">
        <f>VLOOKUP(BP$13,'backfill &amp; bedding'!$A$19:$D$21,BP$14+2,0)</f>
        <v>2.21</v>
      </c>
      <c r="BQ41" s="56">
        <f>VLOOKUP(BQ$13,'backfill &amp; bedding'!$A$19:$D$21,BQ$14+2,0)</f>
        <v>2.21</v>
      </c>
      <c r="BR41" s="56">
        <f>VLOOKUP(BR$13,'backfill &amp; bedding'!$A$19:$D$21,BR$14+2,0)</f>
        <v>2.21</v>
      </c>
      <c r="BS41" s="56">
        <f>VLOOKUP(BS$13,'backfill &amp; bedding'!$A$19:$D$21,BS$14+2,0)</f>
        <v>2.21</v>
      </c>
      <c r="BT41" s="56">
        <f>VLOOKUP(BT$13,'backfill &amp; bedding'!$A$19:$D$21,BT$14+2,0)</f>
        <v>2.21</v>
      </c>
      <c r="BU41" s="56">
        <f>VLOOKUP(BU$13,'backfill &amp; bedding'!$A$19:$D$21,BU$14+2,0)</f>
        <v>2.21</v>
      </c>
      <c r="BV41" s="56">
        <f>VLOOKUP(BV$13,'backfill &amp; bedding'!$A$19:$D$21,BV$14+2,0)</f>
        <v>2.21</v>
      </c>
      <c r="BW41" s="56">
        <f>VLOOKUP(BW$13,'backfill &amp; bedding'!$A$19:$D$21,BW$14+2,0)</f>
        <v>2.21</v>
      </c>
      <c r="BX41" s="56">
        <f>VLOOKUP(BX$13,'backfill &amp; bedding'!$A$19:$D$21,BX$14+2,0)</f>
        <v>2.21</v>
      </c>
      <c r="BY41" s="56">
        <f>VLOOKUP(BY$13,'backfill &amp; bedding'!$A$19:$D$21,BY$14+2,0)</f>
        <v>2.21</v>
      </c>
      <c r="BZ41" s="56">
        <f>VLOOKUP(BZ$13,'backfill &amp; bedding'!$A$19:$D$21,BZ$14+2,0)</f>
        <v>2.21</v>
      </c>
      <c r="CA41" s="56">
        <f>VLOOKUP(CA$13,'backfill &amp; bedding'!$A$19:$D$21,CA$14+2,0)</f>
        <v>2.21</v>
      </c>
      <c r="CB41" s="56">
        <f>VLOOKUP(CB$13,'backfill &amp; bedding'!$A$19:$D$21,CB$14+2,0)</f>
        <v>2.21</v>
      </c>
      <c r="CC41" s="56">
        <f>VLOOKUP(CC$13,'backfill &amp; bedding'!$A$19:$D$21,CC$14+2,0)</f>
        <v>2.21</v>
      </c>
      <c r="CD41" s="56">
        <f>VLOOKUP(CD$13,'backfill &amp; bedding'!$A$19:$D$21,CD$14+2,0)</f>
        <v>2.21</v>
      </c>
      <c r="CE41" s="56">
        <f>VLOOKUP(CE$13,'backfill &amp; bedding'!$A$19:$D$21,CE$14+2,0)</f>
        <v>2.21</v>
      </c>
      <c r="CF41" s="56">
        <f>VLOOKUP(CF$13,'backfill &amp; bedding'!$A$19:$D$21,CF$14+2,0)</f>
        <v>2.21</v>
      </c>
      <c r="CG41" s="56">
        <f>VLOOKUP(CG$13,'backfill &amp; bedding'!$A$19:$D$21,CG$14+2,0)</f>
        <v>2.21</v>
      </c>
      <c r="CH41" s="56">
        <f>VLOOKUP(CH$13,'backfill &amp; bedding'!$A$19:$D$21,CH$14+2,0)</f>
        <v>2.21</v>
      </c>
      <c r="CI41" s="56">
        <f>VLOOKUP(CI$13,'backfill &amp; bedding'!$A$19:$D$21,CI$14+2,0)</f>
        <v>2.21</v>
      </c>
      <c r="CJ41" s="56">
        <f>VLOOKUP(CJ$13,'backfill &amp; bedding'!$A$19:$D$21,CJ$14+2,0)</f>
        <v>2.21</v>
      </c>
      <c r="CK41" s="56">
        <f>VLOOKUP(CK$13,'backfill &amp; bedding'!$A$19:$D$21,CK$14+2,0)</f>
        <v>2.21</v>
      </c>
      <c r="CL41" s="56">
        <f>VLOOKUP(CL$13,'backfill &amp; bedding'!$A$19:$D$21,CL$14+2,0)</f>
        <v>2.21</v>
      </c>
      <c r="CM41" s="56">
        <f>VLOOKUP(CM$13,'backfill &amp; bedding'!$A$19:$D$21,CM$14+2,0)</f>
        <v>2.21</v>
      </c>
      <c r="CN41" s="56">
        <f>VLOOKUP(CN$13,'backfill &amp; bedding'!$A$19:$D$21,CN$14+2,0)</f>
        <v>2.21</v>
      </c>
      <c r="CO41" s="56">
        <f>VLOOKUP(CO$13,'backfill &amp; bedding'!$A$19:$D$21,CO$14+2,0)</f>
        <v>2.21</v>
      </c>
      <c r="CP41" s="56">
        <f>VLOOKUP(CP$13,'backfill &amp; bedding'!$A$19:$D$21,CP$14+2,0)</f>
        <v>2.21</v>
      </c>
      <c r="CQ41" s="56">
        <f>VLOOKUP(CQ$13,'backfill &amp; bedding'!$A$19:$D$21,CQ$14+2,0)</f>
        <v>2.21</v>
      </c>
      <c r="CR41" s="56">
        <f>VLOOKUP(CR$13,'backfill &amp; bedding'!$A$19:$D$21,CR$14+2,0)</f>
        <v>2.21</v>
      </c>
      <c r="CS41" s="56">
        <f>VLOOKUP(CS$13,'backfill &amp; bedding'!$A$19:$D$21,CS$14+2,0)</f>
        <v>2.21</v>
      </c>
      <c r="CT41" s="56">
        <f>VLOOKUP(CT$13,'backfill &amp; bedding'!$A$19:$D$21,CT$14+2,0)</f>
        <v>2.21</v>
      </c>
      <c r="CU41" s="56">
        <f>VLOOKUP(CU$13,'backfill &amp; bedding'!$A$19:$D$21,CU$14+2,0)</f>
        <v>2.21</v>
      </c>
      <c r="CV41" s="56">
        <f>VLOOKUP(CV$13,'backfill &amp; bedding'!$A$19:$D$21,CV$14+2,0)</f>
        <v>2.21</v>
      </c>
      <c r="CW41" s="56">
        <f>VLOOKUP(CW$13,'backfill &amp; bedding'!$A$19:$D$21,CW$14+2,0)</f>
        <v>2.21</v>
      </c>
    </row>
    <row r="42" spans="1:101" s="105" customFormat="1" ht="12.75">
      <c r="A42" s="98" t="s">
        <v>142</v>
      </c>
      <c r="B42" s="56">
        <f aca="true" t="shared" si="17" ref="B42:AG42">((B$38/B$37)-(B$40/B$39)-(3.14*((B$113/12)^2)*0.25*B$15*0.037))*B41</f>
        <v>0</v>
      </c>
      <c r="C42" s="56">
        <f t="shared" si="17"/>
        <v>0</v>
      </c>
      <c r="D42" s="56">
        <f t="shared" si="17"/>
        <v>0</v>
      </c>
      <c r="E42" s="56">
        <f t="shared" si="17"/>
        <v>0</v>
      </c>
      <c r="F42" s="56">
        <f t="shared" si="17"/>
        <v>0</v>
      </c>
      <c r="G42" s="56">
        <f t="shared" si="17"/>
        <v>0</v>
      </c>
      <c r="H42" s="56">
        <f t="shared" si="17"/>
        <v>0</v>
      </c>
      <c r="I42" s="56">
        <f t="shared" si="17"/>
        <v>0</v>
      </c>
      <c r="J42" s="56">
        <f t="shared" si="17"/>
        <v>0</v>
      </c>
      <c r="K42" s="56">
        <f t="shared" si="17"/>
        <v>0</v>
      </c>
      <c r="L42" s="56">
        <f t="shared" si="17"/>
        <v>0</v>
      </c>
      <c r="M42" s="56">
        <f t="shared" si="17"/>
        <v>0</v>
      </c>
      <c r="N42" s="56">
        <f t="shared" si="17"/>
        <v>0</v>
      </c>
      <c r="O42" s="56">
        <f t="shared" si="17"/>
        <v>0</v>
      </c>
      <c r="P42" s="56">
        <f t="shared" si="17"/>
        <v>0</v>
      </c>
      <c r="Q42" s="56">
        <f t="shared" si="17"/>
        <v>0</v>
      </c>
      <c r="R42" s="56">
        <f t="shared" si="17"/>
        <v>0</v>
      </c>
      <c r="S42" s="56">
        <f t="shared" si="17"/>
        <v>0</v>
      </c>
      <c r="T42" s="56">
        <f t="shared" si="17"/>
        <v>0</v>
      </c>
      <c r="U42" s="56">
        <f t="shared" si="17"/>
        <v>0</v>
      </c>
      <c r="V42" s="56">
        <f t="shared" si="17"/>
        <v>0</v>
      </c>
      <c r="W42" s="56">
        <f t="shared" si="17"/>
        <v>0</v>
      </c>
      <c r="X42" s="56">
        <f t="shared" si="17"/>
        <v>0</v>
      </c>
      <c r="Y42" s="56">
        <f t="shared" si="17"/>
        <v>0</v>
      </c>
      <c r="Z42" s="56">
        <f t="shared" si="17"/>
        <v>0</v>
      </c>
      <c r="AA42" s="56">
        <f t="shared" si="17"/>
        <v>0</v>
      </c>
      <c r="AB42" s="56">
        <f t="shared" si="17"/>
        <v>0</v>
      </c>
      <c r="AC42" s="56">
        <f t="shared" si="17"/>
        <v>0</v>
      </c>
      <c r="AD42" s="56">
        <f t="shared" si="17"/>
        <v>0</v>
      </c>
      <c r="AE42" s="56">
        <f t="shared" si="17"/>
        <v>0</v>
      </c>
      <c r="AF42" s="56">
        <f t="shared" si="17"/>
        <v>0</v>
      </c>
      <c r="AG42" s="56">
        <f t="shared" si="17"/>
        <v>0</v>
      </c>
      <c r="AH42" s="56">
        <f aca="true" t="shared" si="18" ref="AH42:BM42">((AH$38/AH$37)-(AH$40/AH$39)-(3.14*((AH$113/12)^2)*0.25*AH$15*0.037))*AH41</f>
        <v>0</v>
      </c>
      <c r="AI42" s="56">
        <f t="shared" si="18"/>
        <v>0</v>
      </c>
      <c r="AJ42" s="56">
        <f t="shared" si="18"/>
        <v>0</v>
      </c>
      <c r="AK42" s="56">
        <f t="shared" si="18"/>
        <v>0</v>
      </c>
      <c r="AL42" s="56">
        <f t="shared" si="18"/>
        <v>0</v>
      </c>
      <c r="AM42" s="56">
        <f t="shared" si="18"/>
        <v>0</v>
      </c>
      <c r="AN42" s="56">
        <f t="shared" si="18"/>
        <v>0</v>
      </c>
      <c r="AO42" s="56">
        <f t="shared" si="18"/>
        <v>0</v>
      </c>
      <c r="AP42" s="56">
        <f t="shared" si="18"/>
        <v>0</v>
      </c>
      <c r="AQ42" s="56">
        <f t="shared" si="18"/>
        <v>0</v>
      </c>
      <c r="AR42" s="56">
        <f t="shared" si="18"/>
        <v>0</v>
      </c>
      <c r="AS42" s="56">
        <f t="shared" si="18"/>
        <v>0</v>
      </c>
      <c r="AT42" s="56">
        <f t="shared" si="18"/>
        <v>0</v>
      </c>
      <c r="AU42" s="56">
        <f t="shared" si="18"/>
        <v>0</v>
      </c>
      <c r="AV42" s="56">
        <f t="shared" si="18"/>
        <v>0</v>
      </c>
      <c r="AW42" s="56">
        <f t="shared" si="18"/>
        <v>0</v>
      </c>
      <c r="AX42" s="56">
        <f t="shared" si="18"/>
        <v>0</v>
      </c>
      <c r="AY42" s="56">
        <f t="shared" si="18"/>
        <v>0</v>
      </c>
      <c r="AZ42" s="56">
        <f t="shared" si="18"/>
        <v>0</v>
      </c>
      <c r="BA42" s="56">
        <f t="shared" si="18"/>
        <v>0</v>
      </c>
      <c r="BB42" s="56">
        <f t="shared" si="18"/>
        <v>0</v>
      </c>
      <c r="BC42" s="56">
        <f t="shared" si="18"/>
        <v>0</v>
      </c>
      <c r="BD42" s="56">
        <f t="shared" si="18"/>
        <v>0</v>
      </c>
      <c r="BE42" s="56">
        <f t="shared" si="18"/>
        <v>0</v>
      </c>
      <c r="BF42" s="56">
        <f t="shared" si="18"/>
        <v>0</v>
      </c>
      <c r="BG42" s="56">
        <f t="shared" si="18"/>
        <v>0</v>
      </c>
      <c r="BH42" s="56">
        <f t="shared" si="18"/>
        <v>0</v>
      </c>
      <c r="BI42" s="56">
        <f t="shared" si="18"/>
        <v>0</v>
      </c>
      <c r="BJ42" s="56">
        <f t="shared" si="18"/>
        <v>0</v>
      </c>
      <c r="BK42" s="56">
        <f t="shared" si="18"/>
        <v>0</v>
      </c>
      <c r="BL42" s="56">
        <f t="shared" si="18"/>
        <v>0</v>
      </c>
      <c r="BM42" s="56">
        <f t="shared" si="18"/>
        <v>0</v>
      </c>
      <c r="BN42" s="56">
        <f aca="true" t="shared" si="19" ref="BN42:CS42">((BN$38/BN$37)-(BN$40/BN$39)-(3.14*((BN$113/12)^2)*0.25*BN$15*0.037))*BN41</f>
        <v>0</v>
      </c>
      <c r="BO42" s="56">
        <f t="shared" si="19"/>
        <v>0</v>
      </c>
      <c r="BP42" s="56">
        <f t="shared" si="19"/>
        <v>0</v>
      </c>
      <c r="BQ42" s="56">
        <f t="shared" si="19"/>
        <v>0</v>
      </c>
      <c r="BR42" s="56">
        <f t="shared" si="19"/>
        <v>0</v>
      </c>
      <c r="BS42" s="56">
        <f t="shared" si="19"/>
        <v>0</v>
      </c>
      <c r="BT42" s="56">
        <f t="shared" si="19"/>
        <v>0</v>
      </c>
      <c r="BU42" s="56">
        <f t="shared" si="19"/>
        <v>0</v>
      </c>
      <c r="BV42" s="56">
        <f t="shared" si="19"/>
        <v>0</v>
      </c>
      <c r="BW42" s="56">
        <f t="shared" si="19"/>
        <v>0</v>
      </c>
      <c r="BX42" s="56">
        <f t="shared" si="19"/>
        <v>0</v>
      </c>
      <c r="BY42" s="56">
        <f t="shared" si="19"/>
        <v>0</v>
      </c>
      <c r="BZ42" s="56">
        <f t="shared" si="19"/>
        <v>0</v>
      </c>
      <c r="CA42" s="56">
        <f t="shared" si="19"/>
        <v>0</v>
      </c>
      <c r="CB42" s="56">
        <f t="shared" si="19"/>
        <v>0</v>
      </c>
      <c r="CC42" s="56">
        <f t="shared" si="19"/>
        <v>0</v>
      </c>
      <c r="CD42" s="56">
        <f t="shared" si="19"/>
        <v>0</v>
      </c>
      <c r="CE42" s="56">
        <f t="shared" si="19"/>
        <v>0</v>
      </c>
      <c r="CF42" s="56">
        <f t="shared" si="19"/>
        <v>0</v>
      </c>
      <c r="CG42" s="56">
        <f t="shared" si="19"/>
        <v>0</v>
      </c>
      <c r="CH42" s="56">
        <f t="shared" si="19"/>
        <v>0</v>
      </c>
      <c r="CI42" s="56">
        <f t="shared" si="19"/>
        <v>0</v>
      </c>
      <c r="CJ42" s="56">
        <f t="shared" si="19"/>
        <v>0</v>
      </c>
      <c r="CK42" s="56">
        <f t="shared" si="19"/>
        <v>0</v>
      </c>
      <c r="CL42" s="56">
        <f t="shared" si="19"/>
        <v>0</v>
      </c>
      <c r="CM42" s="56">
        <f t="shared" si="19"/>
        <v>0</v>
      </c>
      <c r="CN42" s="56">
        <f t="shared" si="19"/>
        <v>0</v>
      </c>
      <c r="CO42" s="56">
        <f t="shared" si="19"/>
        <v>0</v>
      </c>
      <c r="CP42" s="56">
        <f t="shared" si="19"/>
        <v>0</v>
      </c>
      <c r="CQ42" s="56">
        <f t="shared" si="19"/>
        <v>0</v>
      </c>
      <c r="CR42" s="56">
        <f t="shared" si="19"/>
        <v>0</v>
      </c>
      <c r="CS42" s="56">
        <f t="shared" si="19"/>
        <v>0</v>
      </c>
      <c r="CT42" s="56">
        <f>((CT$38/CT$37)-(CT$40/CT$39)-(3.14*((CT$113/12)^2)*0.25*CT$15*0.037))*CT41</f>
        <v>0</v>
      </c>
      <c r="CU42" s="56">
        <f>((CU$38/CU$37)-(CU$40/CU$39)-(3.14*((CU$113/12)^2)*0.25*CU$15*0.037))*CU41</f>
        <v>0</v>
      </c>
      <c r="CV42" s="56">
        <f>((CV$38/CV$37)-(CV$40/CV$39)-(3.14*((CV$113/12)^2)*0.25*CV$15*0.037))*CV41</f>
        <v>0</v>
      </c>
      <c r="CW42" s="56">
        <f>((CW$38/CW$37)-(CW$40/CW$39)-(3.14*((CW$113/12)^2)*0.25*CW$15*0.037))*CW41</f>
        <v>0</v>
      </c>
    </row>
    <row r="43" spans="1:101" s="90" customFormat="1" ht="12.75">
      <c r="A43" s="97" t="s">
        <v>195</v>
      </c>
      <c r="B43" s="60">
        <f aca="true" t="shared" si="20" ref="B43:BM43">IF(B$17=1,B$19*((5.2455*(B$18^2))+(159.51*B$18)+457.5),IF(B$17=2,B$19*((3.2188*(B$18^2))+(223.39*B$18)+331.04),B$19*((6.875*(B$18^2))+(305.82*B$18)+653.86)))</f>
        <v>0</v>
      </c>
      <c r="C43" s="60">
        <f t="shared" si="20"/>
        <v>0</v>
      </c>
      <c r="D43" s="60">
        <f t="shared" si="20"/>
        <v>0</v>
      </c>
      <c r="E43" s="60">
        <f t="shared" si="20"/>
        <v>0</v>
      </c>
      <c r="F43" s="60">
        <f t="shared" si="20"/>
        <v>0</v>
      </c>
      <c r="G43" s="60">
        <f t="shared" si="20"/>
        <v>0</v>
      </c>
      <c r="H43" s="60">
        <f t="shared" si="20"/>
        <v>0</v>
      </c>
      <c r="I43" s="60">
        <f t="shared" si="20"/>
        <v>0</v>
      </c>
      <c r="J43" s="60">
        <f t="shared" si="20"/>
        <v>0</v>
      </c>
      <c r="K43" s="60">
        <f t="shared" si="20"/>
        <v>0</v>
      </c>
      <c r="L43" s="60">
        <f t="shared" si="20"/>
        <v>0</v>
      </c>
      <c r="M43" s="60">
        <f t="shared" si="20"/>
        <v>0</v>
      </c>
      <c r="N43" s="60">
        <f t="shared" si="20"/>
        <v>0</v>
      </c>
      <c r="O43" s="60">
        <f t="shared" si="20"/>
        <v>0</v>
      </c>
      <c r="P43" s="60">
        <f t="shared" si="20"/>
        <v>0</v>
      </c>
      <c r="Q43" s="60">
        <f t="shared" si="20"/>
        <v>0</v>
      </c>
      <c r="R43" s="60">
        <f t="shared" si="20"/>
        <v>0</v>
      </c>
      <c r="S43" s="60">
        <f t="shared" si="20"/>
        <v>0</v>
      </c>
      <c r="T43" s="60">
        <f t="shared" si="20"/>
        <v>0</v>
      </c>
      <c r="U43" s="60">
        <f t="shared" si="20"/>
        <v>0</v>
      </c>
      <c r="V43" s="60">
        <f t="shared" si="20"/>
        <v>0</v>
      </c>
      <c r="W43" s="60">
        <f t="shared" si="20"/>
        <v>0</v>
      </c>
      <c r="X43" s="60">
        <f t="shared" si="20"/>
        <v>0</v>
      </c>
      <c r="Y43" s="60">
        <f t="shared" si="20"/>
        <v>0</v>
      </c>
      <c r="Z43" s="60">
        <f t="shared" si="20"/>
        <v>0</v>
      </c>
      <c r="AA43" s="60">
        <f t="shared" si="20"/>
        <v>0</v>
      </c>
      <c r="AB43" s="60">
        <f t="shared" si="20"/>
        <v>0</v>
      </c>
      <c r="AC43" s="60">
        <f t="shared" si="20"/>
        <v>0</v>
      </c>
      <c r="AD43" s="60">
        <f t="shared" si="20"/>
        <v>0</v>
      </c>
      <c r="AE43" s="60">
        <f t="shared" si="20"/>
        <v>0</v>
      </c>
      <c r="AF43" s="60">
        <f t="shared" si="20"/>
        <v>0</v>
      </c>
      <c r="AG43" s="60">
        <f t="shared" si="20"/>
        <v>0</v>
      </c>
      <c r="AH43" s="60">
        <f t="shared" si="20"/>
        <v>0</v>
      </c>
      <c r="AI43" s="60">
        <f t="shared" si="20"/>
        <v>0</v>
      </c>
      <c r="AJ43" s="60">
        <f t="shared" si="20"/>
        <v>0</v>
      </c>
      <c r="AK43" s="60">
        <f t="shared" si="20"/>
        <v>0</v>
      </c>
      <c r="AL43" s="60">
        <f t="shared" si="20"/>
        <v>0</v>
      </c>
      <c r="AM43" s="60">
        <f t="shared" si="20"/>
        <v>0</v>
      </c>
      <c r="AN43" s="60">
        <f t="shared" si="20"/>
        <v>0</v>
      </c>
      <c r="AO43" s="60">
        <f t="shared" si="20"/>
        <v>0</v>
      </c>
      <c r="AP43" s="60">
        <f t="shared" si="20"/>
        <v>0</v>
      </c>
      <c r="AQ43" s="60">
        <f t="shared" si="20"/>
        <v>0</v>
      </c>
      <c r="AR43" s="60">
        <f t="shared" si="20"/>
        <v>0</v>
      </c>
      <c r="AS43" s="60">
        <f t="shared" si="20"/>
        <v>0</v>
      </c>
      <c r="AT43" s="60">
        <f t="shared" si="20"/>
        <v>0</v>
      </c>
      <c r="AU43" s="60">
        <f t="shared" si="20"/>
        <v>0</v>
      </c>
      <c r="AV43" s="60">
        <f t="shared" si="20"/>
        <v>0</v>
      </c>
      <c r="AW43" s="60">
        <f t="shared" si="20"/>
        <v>0</v>
      </c>
      <c r="AX43" s="60">
        <f t="shared" si="20"/>
        <v>0</v>
      </c>
      <c r="AY43" s="60">
        <f t="shared" si="20"/>
        <v>0</v>
      </c>
      <c r="AZ43" s="60">
        <f t="shared" si="20"/>
        <v>0</v>
      </c>
      <c r="BA43" s="60">
        <f t="shared" si="20"/>
        <v>0</v>
      </c>
      <c r="BB43" s="60">
        <f t="shared" si="20"/>
        <v>0</v>
      </c>
      <c r="BC43" s="60">
        <f t="shared" si="20"/>
        <v>0</v>
      </c>
      <c r="BD43" s="60">
        <f t="shared" si="20"/>
        <v>0</v>
      </c>
      <c r="BE43" s="60">
        <f t="shared" si="20"/>
        <v>0</v>
      </c>
      <c r="BF43" s="60">
        <f t="shared" si="20"/>
        <v>0</v>
      </c>
      <c r="BG43" s="60">
        <f t="shared" si="20"/>
        <v>0</v>
      </c>
      <c r="BH43" s="60">
        <f t="shared" si="20"/>
        <v>0</v>
      </c>
      <c r="BI43" s="60">
        <f t="shared" si="20"/>
        <v>0</v>
      </c>
      <c r="BJ43" s="60">
        <f t="shared" si="20"/>
        <v>0</v>
      </c>
      <c r="BK43" s="60">
        <f t="shared" si="20"/>
        <v>0</v>
      </c>
      <c r="BL43" s="60">
        <f t="shared" si="20"/>
        <v>0</v>
      </c>
      <c r="BM43" s="60">
        <f t="shared" si="20"/>
        <v>0</v>
      </c>
      <c r="BN43" s="60">
        <f aca="true" t="shared" si="21" ref="BN43:CW43">IF(BN$17=1,BN$19*((5.2455*(BN$18^2))+(159.51*BN$18)+457.5),IF(BN$17=2,BN$19*((3.2188*(BN$18^2))+(223.39*BN$18)+331.04),BN$19*((6.875*(BN$18^2))+(305.82*BN$18)+653.86)))</f>
        <v>0</v>
      </c>
      <c r="BO43" s="60">
        <f t="shared" si="21"/>
        <v>0</v>
      </c>
      <c r="BP43" s="60">
        <f t="shared" si="21"/>
        <v>0</v>
      </c>
      <c r="BQ43" s="60">
        <f t="shared" si="21"/>
        <v>0</v>
      </c>
      <c r="BR43" s="60">
        <f t="shared" si="21"/>
        <v>0</v>
      </c>
      <c r="BS43" s="60">
        <f t="shared" si="21"/>
        <v>0</v>
      </c>
      <c r="BT43" s="60">
        <f t="shared" si="21"/>
        <v>0</v>
      </c>
      <c r="BU43" s="60">
        <f t="shared" si="21"/>
        <v>0</v>
      </c>
      <c r="BV43" s="60">
        <f t="shared" si="21"/>
        <v>0</v>
      </c>
      <c r="BW43" s="60">
        <f t="shared" si="21"/>
        <v>0</v>
      </c>
      <c r="BX43" s="60">
        <f t="shared" si="21"/>
        <v>0</v>
      </c>
      <c r="BY43" s="60">
        <f t="shared" si="21"/>
        <v>0</v>
      </c>
      <c r="BZ43" s="60">
        <f t="shared" si="21"/>
        <v>0</v>
      </c>
      <c r="CA43" s="60">
        <f t="shared" si="21"/>
        <v>0</v>
      </c>
      <c r="CB43" s="60">
        <f t="shared" si="21"/>
        <v>0</v>
      </c>
      <c r="CC43" s="60">
        <f t="shared" si="21"/>
        <v>0</v>
      </c>
      <c r="CD43" s="60">
        <f t="shared" si="21"/>
        <v>0</v>
      </c>
      <c r="CE43" s="60">
        <f t="shared" si="21"/>
        <v>0</v>
      </c>
      <c r="CF43" s="60">
        <f t="shared" si="21"/>
        <v>0</v>
      </c>
      <c r="CG43" s="60">
        <f t="shared" si="21"/>
        <v>0</v>
      </c>
      <c r="CH43" s="60">
        <f t="shared" si="21"/>
        <v>0</v>
      </c>
      <c r="CI43" s="60">
        <f t="shared" si="21"/>
        <v>0</v>
      </c>
      <c r="CJ43" s="60">
        <f t="shared" si="21"/>
        <v>0</v>
      </c>
      <c r="CK43" s="60">
        <f t="shared" si="21"/>
        <v>0</v>
      </c>
      <c r="CL43" s="60">
        <f t="shared" si="21"/>
        <v>0</v>
      </c>
      <c r="CM43" s="60">
        <f t="shared" si="21"/>
        <v>0</v>
      </c>
      <c r="CN43" s="60">
        <f t="shared" si="21"/>
        <v>0</v>
      </c>
      <c r="CO43" s="60">
        <f t="shared" si="21"/>
        <v>0</v>
      </c>
      <c r="CP43" s="60">
        <f t="shared" si="21"/>
        <v>0</v>
      </c>
      <c r="CQ43" s="60">
        <f t="shared" si="21"/>
        <v>0</v>
      </c>
      <c r="CR43" s="60">
        <f t="shared" si="21"/>
        <v>0</v>
      </c>
      <c r="CS43" s="60">
        <f t="shared" si="21"/>
        <v>0</v>
      </c>
      <c r="CT43" s="60">
        <f t="shared" si="21"/>
        <v>0</v>
      </c>
      <c r="CU43" s="60">
        <f t="shared" si="21"/>
        <v>0</v>
      </c>
      <c r="CV43" s="60">
        <f t="shared" si="21"/>
        <v>0</v>
      </c>
      <c r="CW43" s="60">
        <f t="shared" si="21"/>
        <v>0</v>
      </c>
    </row>
    <row r="44" spans="1:101" s="90" customFormat="1" ht="12.75">
      <c r="A44" s="97" t="s">
        <v>2</v>
      </c>
      <c r="B44" s="60">
        <f>IF(B$20=1,B$22*((13.75*(B$21^2))+(117.5*B$21)+479),IF(B$20=2,B$22*((0.1071*(B$21^2))+(206.21*B$21)+16.8),IF(B$20=3,B$22*((2.3214*(B$21^2))+(440.36*B$21)-39),0)))</f>
        <v>0</v>
      </c>
      <c r="C44" s="60">
        <f aca="true" t="shared" si="22" ref="C44:BN44">IF(C$20=1,C$22*((13.75*(C$21^2))+(117.5*C$21)+479),IF(C$20=2,C$22*((0.1071*(C$21^2))+(206.21*C$21)+16.8),IF(C$20=3,C$22*((2.3214*(C$21^2))+(440.36*C$21)-39),0)))</f>
        <v>0</v>
      </c>
      <c r="D44" s="60">
        <f t="shared" si="22"/>
        <v>0</v>
      </c>
      <c r="E44" s="60">
        <f t="shared" si="22"/>
        <v>0</v>
      </c>
      <c r="F44" s="60">
        <f t="shared" si="22"/>
        <v>0</v>
      </c>
      <c r="G44" s="60">
        <f t="shared" si="22"/>
        <v>0</v>
      </c>
      <c r="H44" s="60">
        <f t="shared" si="22"/>
        <v>0</v>
      </c>
      <c r="I44" s="60">
        <f t="shared" si="22"/>
        <v>0</v>
      </c>
      <c r="J44" s="60">
        <f t="shared" si="22"/>
        <v>0</v>
      </c>
      <c r="K44" s="60">
        <f t="shared" si="22"/>
        <v>0</v>
      </c>
      <c r="L44" s="60">
        <f t="shared" si="22"/>
        <v>0</v>
      </c>
      <c r="M44" s="60">
        <f t="shared" si="22"/>
        <v>0</v>
      </c>
      <c r="N44" s="60">
        <f t="shared" si="22"/>
        <v>0</v>
      </c>
      <c r="O44" s="60">
        <f t="shared" si="22"/>
        <v>0</v>
      </c>
      <c r="P44" s="60">
        <f t="shared" si="22"/>
        <v>0</v>
      </c>
      <c r="Q44" s="60">
        <f t="shared" si="22"/>
        <v>0</v>
      </c>
      <c r="R44" s="60">
        <f t="shared" si="22"/>
        <v>0</v>
      </c>
      <c r="S44" s="60">
        <f t="shared" si="22"/>
        <v>0</v>
      </c>
      <c r="T44" s="60">
        <f t="shared" si="22"/>
        <v>0</v>
      </c>
      <c r="U44" s="60">
        <f t="shared" si="22"/>
        <v>0</v>
      </c>
      <c r="V44" s="60">
        <f t="shared" si="22"/>
        <v>0</v>
      </c>
      <c r="W44" s="60">
        <f t="shared" si="22"/>
        <v>0</v>
      </c>
      <c r="X44" s="60">
        <f t="shared" si="22"/>
        <v>0</v>
      </c>
      <c r="Y44" s="60">
        <f t="shared" si="22"/>
        <v>0</v>
      </c>
      <c r="Z44" s="60">
        <f t="shared" si="22"/>
        <v>0</v>
      </c>
      <c r="AA44" s="60">
        <f t="shared" si="22"/>
        <v>0</v>
      </c>
      <c r="AB44" s="60">
        <f t="shared" si="22"/>
        <v>0</v>
      </c>
      <c r="AC44" s="60">
        <f t="shared" si="22"/>
        <v>0</v>
      </c>
      <c r="AD44" s="60">
        <f t="shared" si="22"/>
        <v>0</v>
      </c>
      <c r="AE44" s="60">
        <f t="shared" si="22"/>
        <v>0</v>
      </c>
      <c r="AF44" s="60">
        <f t="shared" si="22"/>
        <v>0</v>
      </c>
      <c r="AG44" s="60">
        <f t="shared" si="22"/>
        <v>0</v>
      </c>
      <c r="AH44" s="60">
        <f t="shared" si="22"/>
        <v>0</v>
      </c>
      <c r="AI44" s="60">
        <f t="shared" si="22"/>
        <v>0</v>
      </c>
      <c r="AJ44" s="60">
        <f t="shared" si="22"/>
        <v>0</v>
      </c>
      <c r="AK44" s="60">
        <f t="shared" si="22"/>
        <v>0</v>
      </c>
      <c r="AL44" s="60">
        <f t="shared" si="22"/>
        <v>0</v>
      </c>
      <c r="AM44" s="60">
        <f t="shared" si="22"/>
        <v>0</v>
      </c>
      <c r="AN44" s="60">
        <f t="shared" si="22"/>
        <v>0</v>
      </c>
      <c r="AO44" s="60">
        <f t="shared" si="22"/>
        <v>0</v>
      </c>
      <c r="AP44" s="60">
        <f t="shared" si="22"/>
        <v>0</v>
      </c>
      <c r="AQ44" s="60">
        <f t="shared" si="22"/>
        <v>0</v>
      </c>
      <c r="AR44" s="60">
        <f t="shared" si="22"/>
        <v>0</v>
      </c>
      <c r="AS44" s="60">
        <f t="shared" si="22"/>
        <v>0</v>
      </c>
      <c r="AT44" s="60">
        <f t="shared" si="22"/>
        <v>0</v>
      </c>
      <c r="AU44" s="60">
        <f t="shared" si="22"/>
        <v>0</v>
      </c>
      <c r="AV44" s="60">
        <f t="shared" si="22"/>
        <v>0</v>
      </c>
      <c r="AW44" s="60">
        <f t="shared" si="22"/>
        <v>0</v>
      </c>
      <c r="AX44" s="60">
        <f t="shared" si="22"/>
        <v>0</v>
      </c>
      <c r="AY44" s="60">
        <f t="shared" si="22"/>
        <v>0</v>
      </c>
      <c r="AZ44" s="60">
        <f t="shared" si="22"/>
        <v>0</v>
      </c>
      <c r="BA44" s="60">
        <f t="shared" si="22"/>
        <v>0</v>
      </c>
      <c r="BB44" s="60">
        <f t="shared" si="22"/>
        <v>0</v>
      </c>
      <c r="BC44" s="60">
        <f t="shared" si="22"/>
        <v>0</v>
      </c>
      <c r="BD44" s="60">
        <f t="shared" si="22"/>
        <v>0</v>
      </c>
      <c r="BE44" s="60">
        <f t="shared" si="22"/>
        <v>0</v>
      </c>
      <c r="BF44" s="60">
        <f t="shared" si="22"/>
        <v>0</v>
      </c>
      <c r="BG44" s="60">
        <f t="shared" si="22"/>
        <v>0</v>
      </c>
      <c r="BH44" s="60">
        <f t="shared" si="22"/>
        <v>0</v>
      </c>
      <c r="BI44" s="60">
        <f t="shared" si="22"/>
        <v>0</v>
      </c>
      <c r="BJ44" s="60">
        <f t="shared" si="22"/>
        <v>0</v>
      </c>
      <c r="BK44" s="60">
        <f t="shared" si="22"/>
        <v>0</v>
      </c>
      <c r="BL44" s="60">
        <f t="shared" si="22"/>
        <v>0</v>
      </c>
      <c r="BM44" s="60">
        <f t="shared" si="22"/>
        <v>0</v>
      </c>
      <c r="BN44" s="60">
        <f t="shared" si="22"/>
        <v>0</v>
      </c>
      <c r="BO44" s="60">
        <f aca="true" t="shared" si="23" ref="BO44:CW44">IF(BO$20=1,BO$22*((13.75*(BO$21^2))+(117.5*BO$21)+479),IF(BO$20=2,BO$22*((0.1071*(BO$21^2))+(206.21*BO$21)+16.8),IF(BO$20=3,BO$22*((2.3214*(BO$21^2))+(440.36*BO$21)-39),0)))</f>
        <v>0</v>
      </c>
      <c r="BP44" s="60">
        <f t="shared" si="23"/>
        <v>0</v>
      </c>
      <c r="BQ44" s="60">
        <f t="shared" si="23"/>
        <v>0</v>
      </c>
      <c r="BR44" s="60">
        <f t="shared" si="23"/>
        <v>0</v>
      </c>
      <c r="BS44" s="60">
        <f t="shared" si="23"/>
        <v>0</v>
      </c>
      <c r="BT44" s="60">
        <f t="shared" si="23"/>
        <v>0</v>
      </c>
      <c r="BU44" s="60">
        <f t="shared" si="23"/>
        <v>0</v>
      </c>
      <c r="BV44" s="60">
        <f t="shared" si="23"/>
        <v>0</v>
      </c>
      <c r="BW44" s="60">
        <f t="shared" si="23"/>
        <v>0</v>
      </c>
      <c r="BX44" s="60">
        <f t="shared" si="23"/>
        <v>0</v>
      </c>
      <c r="BY44" s="60">
        <f t="shared" si="23"/>
        <v>0</v>
      </c>
      <c r="BZ44" s="60">
        <f t="shared" si="23"/>
        <v>0</v>
      </c>
      <c r="CA44" s="60">
        <f t="shared" si="23"/>
        <v>0</v>
      </c>
      <c r="CB44" s="60">
        <f t="shared" si="23"/>
        <v>0</v>
      </c>
      <c r="CC44" s="60">
        <f t="shared" si="23"/>
        <v>0</v>
      </c>
      <c r="CD44" s="60">
        <f t="shared" si="23"/>
        <v>0</v>
      </c>
      <c r="CE44" s="60">
        <f t="shared" si="23"/>
        <v>0</v>
      </c>
      <c r="CF44" s="60">
        <f t="shared" si="23"/>
        <v>0</v>
      </c>
      <c r="CG44" s="60">
        <f t="shared" si="23"/>
        <v>0</v>
      </c>
      <c r="CH44" s="60">
        <f t="shared" si="23"/>
        <v>0</v>
      </c>
      <c r="CI44" s="60">
        <f t="shared" si="23"/>
        <v>0</v>
      </c>
      <c r="CJ44" s="60">
        <f t="shared" si="23"/>
        <v>0</v>
      </c>
      <c r="CK44" s="60">
        <f t="shared" si="23"/>
        <v>0</v>
      </c>
      <c r="CL44" s="60">
        <f t="shared" si="23"/>
        <v>0</v>
      </c>
      <c r="CM44" s="60">
        <f t="shared" si="23"/>
        <v>0</v>
      </c>
      <c r="CN44" s="60">
        <f t="shared" si="23"/>
        <v>0</v>
      </c>
      <c r="CO44" s="60">
        <f t="shared" si="23"/>
        <v>0</v>
      </c>
      <c r="CP44" s="60">
        <f t="shared" si="23"/>
        <v>0</v>
      </c>
      <c r="CQ44" s="60">
        <f t="shared" si="23"/>
        <v>0</v>
      </c>
      <c r="CR44" s="60">
        <f t="shared" si="23"/>
        <v>0</v>
      </c>
      <c r="CS44" s="60">
        <f t="shared" si="23"/>
        <v>0</v>
      </c>
      <c r="CT44" s="60">
        <f t="shared" si="23"/>
        <v>0</v>
      </c>
      <c r="CU44" s="60">
        <f t="shared" si="23"/>
        <v>0</v>
      </c>
      <c r="CV44" s="60">
        <f t="shared" si="23"/>
        <v>0</v>
      </c>
      <c r="CW44" s="60">
        <f t="shared" si="23"/>
        <v>0</v>
      </c>
    </row>
    <row r="45" spans="1:101" s="90" customFormat="1" ht="12.75">
      <c r="A45" s="90" t="s">
        <v>155</v>
      </c>
      <c r="B45" s="60">
        <f>B$36+B$38+B$40+B$42+B$43+B$44</f>
        <v>0</v>
      </c>
      <c r="C45" s="60">
        <f aca="true" t="shared" si="24" ref="C45:BN45">C$36+C$38+C$40+C$42+C$43+C$44</f>
        <v>0</v>
      </c>
      <c r="D45" s="60">
        <f t="shared" si="24"/>
        <v>0</v>
      </c>
      <c r="E45" s="60">
        <f t="shared" si="24"/>
        <v>0</v>
      </c>
      <c r="F45" s="60">
        <f t="shared" si="24"/>
        <v>0</v>
      </c>
      <c r="G45" s="60">
        <f t="shared" si="24"/>
        <v>0</v>
      </c>
      <c r="H45" s="60">
        <f t="shared" si="24"/>
        <v>0</v>
      </c>
      <c r="I45" s="60">
        <f t="shared" si="24"/>
        <v>0</v>
      </c>
      <c r="J45" s="60">
        <f t="shared" si="24"/>
        <v>0</v>
      </c>
      <c r="K45" s="60">
        <f t="shared" si="24"/>
        <v>0</v>
      </c>
      <c r="L45" s="60">
        <f t="shared" si="24"/>
        <v>0</v>
      </c>
      <c r="M45" s="60">
        <f t="shared" si="24"/>
        <v>0</v>
      </c>
      <c r="N45" s="60">
        <f t="shared" si="24"/>
        <v>0</v>
      </c>
      <c r="O45" s="60">
        <f t="shared" si="24"/>
        <v>0</v>
      </c>
      <c r="P45" s="60">
        <f t="shared" si="24"/>
        <v>0</v>
      </c>
      <c r="Q45" s="60">
        <f t="shared" si="24"/>
        <v>0</v>
      </c>
      <c r="R45" s="60">
        <f t="shared" si="24"/>
        <v>0</v>
      </c>
      <c r="S45" s="60">
        <f t="shared" si="24"/>
        <v>0</v>
      </c>
      <c r="T45" s="60">
        <f t="shared" si="24"/>
        <v>0</v>
      </c>
      <c r="U45" s="60">
        <f t="shared" si="24"/>
        <v>0</v>
      </c>
      <c r="V45" s="60">
        <f t="shared" si="24"/>
        <v>0</v>
      </c>
      <c r="W45" s="60">
        <f t="shared" si="24"/>
        <v>0</v>
      </c>
      <c r="X45" s="60">
        <f t="shared" si="24"/>
        <v>0</v>
      </c>
      <c r="Y45" s="60">
        <f t="shared" si="24"/>
        <v>0</v>
      </c>
      <c r="Z45" s="60">
        <f t="shared" si="24"/>
        <v>0</v>
      </c>
      <c r="AA45" s="60">
        <f t="shared" si="24"/>
        <v>0</v>
      </c>
      <c r="AB45" s="60">
        <f t="shared" si="24"/>
        <v>0</v>
      </c>
      <c r="AC45" s="60">
        <f t="shared" si="24"/>
        <v>0</v>
      </c>
      <c r="AD45" s="60">
        <f t="shared" si="24"/>
        <v>0</v>
      </c>
      <c r="AE45" s="60">
        <f t="shared" si="24"/>
        <v>0</v>
      </c>
      <c r="AF45" s="60">
        <f t="shared" si="24"/>
        <v>0</v>
      </c>
      <c r="AG45" s="60">
        <f t="shared" si="24"/>
        <v>0</v>
      </c>
      <c r="AH45" s="60">
        <f t="shared" si="24"/>
        <v>0</v>
      </c>
      <c r="AI45" s="60">
        <f t="shared" si="24"/>
        <v>0</v>
      </c>
      <c r="AJ45" s="60">
        <f t="shared" si="24"/>
        <v>0</v>
      </c>
      <c r="AK45" s="60">
        <f t="shared" si="24"/>
        <v>0</v>
      </c>
      <c r="AL45" s="60">
        <f t="shared" si="24"/>
        <v>0</v>
      </c>
      <c r="AM45" s="60">
        <f t="shared" si="24"/>
        <v>0</v>
      </c>
      <c r="AN45" s="60">
        <f t="shared" si="24"/>
        <v>0</v>
      </c>
      <c r="AO45" s="60">
        <f t="shared" si="24"/>
        <v>0</v>
      </c>
      <c r="AP45" s="60">
        <f t="shared" si="24"/>
        <v>0</v>
      </c>
      <c r="AQ45" s="60">
        <f t="shared" si="24"/>
        <v>0</v>
      </c>
      <c r="AR45" s="60">
        <f t="shared" si="24"/>
        <v>0</v>
      </c>
      <c r="AS45" s="60">
        <f t="shared" si="24"/>
        <v>0</v>
      </c>
      <c r="AT45" s="60">
        <f t="shared" si="24"/>
        <v>0</v>
      </c>
      <c r="AU45" s="60">
        <f t="shared" si="24"/>
        <v>0</v>
      </c>
      <c r="AV45" s="60">
        <f t="shared" si="24"/>
        <v>0</v>
      </c>
      <c r="AW45" s="60">
        <f t="shared" si="24"/>
        <v>0</v>
      </c>
      <c r="AX45" s="60">
        <f t="shared" si="24"/>
        <v>0</v>
      </c>
      <c r="AY45" s="60">
        <f t="shared" si="24"/>
        <v>0</v>
      </c>
      <c r="AZ45" s="60">
        <f t="shared" si="24"/>
        <v>0</v>
      </c>
      <c r="BA45" s="60">
        <f t="shared" si="24"/>
        <v>0</v>
      </c>
      <c r="BB45" s="60">
        <f t="shared" si="24"/>
        <v>0</v>
      </c>
      <c r="BC45" s="60">
        <f t="shared" si="24"/>
        <v>0</v>
      </c>
      <c r="BD45" s="60">
        <f t="shared" si="24"/>
        <v>0</v>
      </c>
      <c r="BE45" s="60">
        <f t="shared" si="24"/>
        <v>0</v>
      </c>
      <c r="BF45" s="60">
        <f t="shared" si="24"/>
        <v>0</v>
      </c>
      <c r="BG45" s="60">
        <f t="shared" si="24"/>
        <v>0</v>
      </c>
      <c r="BH45" s="60">
        <f t="shared" si="24"/>
        <v>0</v>
      </c>
      <c r="BI45" s="60">
        <f t="shared" si="24"/>
        <v>0</v>
      </c>
      <c r="BJ45" s="60">
        <f t="shared" si="24"/>
        <v>0</v>
      </c>
      <c r="BK45" s="60">
        <f t="shared" si="24"/>
        <v>0</v>
      </c>
      <c r="BL45" s="60">
        <f t="shared" si="24"/>
        <v>0</v>
      </c>
      <c r="BM45" s="60">
        <f t="shared" si="24"/>
        <v>0</v>
      </c>
      <c r="BN45" s="60">
        <f t="shared" si="24"/>
        <v>0</v>
      </c>
      <c r="BO45" s="60">
        <f aca="true" t="shared" si="25" ref="BO45:CW45">BO$36+BO$38+BO$40+BO$42+BO$43+BO$44</f>
        <v>0</v>
      </c>
      <c r="BP45" s="60">
        <f t="shared" si="25"/>
        <v>0</v>
      </c>
      <c r="BQ45" s="60">
        <f t="shared" si="25"/>
        <v>0</v>
      </c>
      <c r="BR45" s="60">
        <f t="shared" si="25"/>
        <v>0</v>
      </c>
      <c r="BS45" s="60">
        <f t="shared" si="25"/>
        <v>0</v>
      </c>
      <c r="BT45" s="60">
        <f t="shared" si="25"/>
        <v>0</v>
      </c>
      <c r="BU45" s="60">
        <f t="shared" si="25"/>
        <v>0</v>
      </c>
      <c r="BV45" s="60">
        <f t="shared" si="25"/>
        <v>0</v>
      </c>
      <c r="BW45" s="60">
        <f t="shared" si="25"/>
        <v>0</v>
      </c>
      <c r="BX45" s="60">
        <f t="shared" si="25"/>
        <v>0</v>
      </c>
      <c r="BY45" s="60">
        <f t="shared" si="25"/>
        <v>0</v>
      </c>
      <c r="BZ45" s="60">
        <f t="shared" si="25"/>
        <v>0</v>
      </c>
      <c r="CA45" s="60">
        <f t="shared" si="25"/>
        <v>0</v>
      </c>
      <c r="CB45" s="60">
        <f t="shared" si="25"/>
        <v>0</v>
      </c>
      <c r="CC45" s="60">
        <f t="shared" si="25"/>
        <v>0</v>
      </c>
      <c r="CD45" s="60">
        <f t="shared" si="25"/>
        <v>0</v>
      </c>
      <c r="CE45" s="60">
        <f t="shared" si="25"/>
        <v>0</v>
      </c>
      <c r="CF45" s="60">
        <f t="shared" si="25"/>
        <v>0</v>
      </c>
      <c r="CG45" s="60">
        <f t="shared" si="25"/>
        <v>0</v>
      </c>
      <c r="CH45" s="60">
        <f t="shared" si="25"/>
        <v>0</v>
      </c>
      <c r="CI45" s="60">
        <f t="shared" si="25"/>
        <v>0</v>
      </c>
      <c r="CJ45" s="60">
        <f t="shared" si="25"/>
        <v>0</v>
      </c>
      <c r="CK45" s="60">
        <f t="shared" si="25"/>
        <v>0</v>
      </c>
      <c r="CL45" s="60">
        <f t="shared" si="25"/>
        <v>0</v>
      </c>
      <c r="CM45" s="60">
        <f t="shared" si="25"/>
        <v>0</v>
      </c>
      <c r="CN45" s="60">
        <f t="shared" si="25"/>
        <v>0</v>
      </c>
      <c r="CO45" s="60">
        <f t="shared" si="25"/>
        <v>0</v>
      </c>
      <c r="CP45" s="60">
        <f t="shared" si="25"/>
        <v>0</v>
      </c>
      <c r="CQ45" s="60">
        <f t="shared" si="25"/>
        <v>0</v>
      </c>
      <c r="CR45" s="60">
        <f t="shared" si="25"/>
        <v>0</v>
      </c>
      <c r="CS45" s="60">
        <f t="shared" si="25"/>
        <v>0</v>
      </c>
      <c r="CT45" s="60">
        <f t="shared" si="25"/>
        <v>0</v>
      </c>
      <c r="CU45" s="60">
        <f t="shared" si="25"/>
        <v>0</v>
      </c>
      <c r="CV45" s="60">
        <f t="shared" si="25"/>
        <v>0</v>
      </c>
      <c r="CW45" s="60">
        <f t="shared" si="25"/>
        <v>0</v>
      </c>
    </row>
    <row r="46" spans="1:21" s="90" customFormat="1" ht="12.75">
      <c r="A46" s="90" t="s">
        <v>224</v>
      </c>
      <c r="B46" s="60">
        <f>SUM(B33:H33)</f>
        <v>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</row>
    <row r="47" spans="1:21" s="90" customFormat="1" ht="12.75">
      <c r="A47" s="90" t="s">
        <v>522</v>
      </c>
      <c r="B47" s="60">
        <f>SUM(B26:E26)</f>
        <v>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</row>
    <row r="48" spans="1:9" ht="12.75">
      <c r="A48" s="90"/>
      <c r="B48" s="119"/>
      <c r="C48" s="119"/>
      <c r="D48" s="119"/>
      <c r="E48" s="90"/>
      <c r="F48" s="120"/>
      <c r="G48" s="120"/>
      <c r="H48" s="121">
        <v>84</v>
      </c>
      <c r="I48" s="122"/>
    </row>
    <row r="49" spans="1:5" ht="12.75">
      <c r="A49" s="88" t="s">
        <v>55</v>
      </c>
      <c r="B49" s="138">
        <v>0</v>
      </c>
      <c r="C49" s="123"/>
      <c r="D49" s="123"/>
      <c r="E49" s="90"/>
    </row>
    <row r="50" spans="1:11" ht="12.75">
      <c r="A50" s="99" t="s">
        <v>50</v>
      </c>
      <c r="B50" s="83">
        <f>SUM(B45:CW45)+SUM(B46:B47)</f>
        <v>0</v>
      </c>
      <c r="C50" s="124"/>
      <c r="D50" s="124"/>
      <c r="E50" s="90"/>
      <c r="K50" s="111"/>
    </row>
    <row r="51" spans="1:11" ht="12.75">
      <c r="A51" s="99" t="s">
        <v>52</v>
      </c>
      <c r="B51" s="138">
        <v>0</v>
      </c>
      <c r="C51" s="124"/>
      <c r="D51" s="124"/>
      <c r="E51" s="90"/>
      <c r="K51" s="111"/>
    </row>
    <row r="52" spans="1:9" ht="12.75">
      <c r="A52" s="90"/>
      <c r="B52" s="119"/>
      <c r="C52" s="119"/>
      <c r="D52" s="119"/>
      <c r="E52" s="90"/>
      <c r="F52" s="120"/>
      <c r="G52" s="120"/>
      <c r="H52" s="121"/>
      <c r="I52" s="122"/>
    </row>
    <row r="53" spans="1:9" ht="12.75">
      <c r="A53" s="100" t="s">
        <v>244</v>
      </c>
      <c r="B53" s="125"/>
      <c r="C53" s="111"/>
      <c r="D53" s="125"/>
      <c r="E53" s="90"/>
      <c r="F53" s="120"/>
      <c r="G53" s="120"/>
      <c r="H53" s="120"/>
      <c r="I53" s="120"/>
    </row>
    <row r="54" spans="1:5" ht="15.75" customHeight="1">
      <c r="A54" s="105" t="s">
        <v>145</v>
      </c>
      <c r="B54" s="54">
        <v>4</v>
      </c>
      <c r="C54" s="126"/>
      <c r="D54" s="129"/>
      <c r="E54" s="90"/>
    </row>
    <row r="55" spans="1:5" ht="15.75" customHeight="1">
      <c r="A55" s="105" t="s">
        <v>146</v>
      </c>
      <c r="B55" s="54">
        <v>29</v>
      </c>
      <c r="C55" s="126"/>
      <c r="D55" s="129"/>
      <c r="E55" s="90"/>
    </row>
    <row r="56" spans="1:5" ht="15" customHeight="1">
      <c r="A56" s="105" t="s">
        <v>57</v>
      </c>
      <c r="B56" s="83">
        <f>VLOOKUP(B54,'ENR cost indices'!$A$38:$AE$58,B55+2,0)</f>
        <v>5576.78</v>
      </c>
      <c r="C56" s="56"/>
      <c r="D56" s="56"/>
      <c r="E56" s="90"/>
    </row>
    <row r="57" spans="1:5" ht="14.25" customHeight="1">
      <c r="A57" s="105" t="s">
        <v>56</v>
      </c>
      <c r="B57" s="83">
        <f>VLOOKUP(B55,'cost index'!A34:C64,3,0)</f>
        <v>7684.07975</v>
      </c>
      <c r="C57" s="74"/>
      <c r="D57" s="56"/>
      <c r="E57" s="90"/>
    </row>
    <row r="58" spans="1:5" ht="14.25" customHeight="1">
      <c r="A58" s="105" t="s">
        <v>248</v>
      </c>
      <c r="B58" s="83">
        <f>B56/B57</f>
        <v>0.7257576940166452</v>
      </c>
      <c r="C58" s="56"/>
      <c r="D58" s="56"/>
      <c r="E58" s="90"/>
    </row>
    <row r="59" spans="1:5" ht="12.75">
      <c r="A59" s="90"/>
      <c r="B59" s="60"/>
      <c r="C59" s="123"/>
      <c r="D59" s="123"/>
      <c r="E59" s="90"/>
    </row>
    <row r="60" spans="1:5" ht="12.75">
      <c r="A60" s="90" t="s">
        <v>245</v>
      </c>
      <c r="B60" s="138">
        <v>5</v>
      </c>
      <c r="C60" s="123"/>
      <c r="D60" s="123"/>
      <c r="E60" s="90"/>
    </row>
    <row r="61" spans="1:5" ht="12.75">
      <c r="A61" s="90" t="s">
        <v>246</v>
      </c>
      <c r="B61" s="141">
        <v>20</v>
      </c>
      <c r="C61" s="123"/>
      <c r="D61" s="123"/>
      <c r="E61" s="90"/>
    </row>
    <row r="62" spans="1:5" ht="12.75">
      <c r="A62" s="90"/>
      <c r="B62" s="60"/>
      <c r="C62" s="123"/>
      <c r="D62" s="123"/>
      <c r="E62" s="90"/>
    </row>
    <row r="63" spans="1:11" ht="12.75">
      <c r="A63" s="92" t="s">
        <v>51</v>
      </c>
      <c r="B63" s="83">
        <f>(((1+(B60/100))^B61)-1)/((B60/100)*((1+(B60/100))^B61))</f>
        <v>12.462210342539986</v>
      </c>
      <c r="C63" s="90"/>
      <c r="D63" s="90"/>
      <c r="E63" s="90"/>
      <c r="K63" s="108"/>
    </row>
    <row r="64" spans="1:11" ht="12.75">
      <c r="A64" s="92" t="s">
        <v>54</v>
      </c>
      <c r="B64" s="139">
        <f>((B60/100)*(1+(B60/100))^B61)/(((1+(B60/100))^B61)-1)</f>
        <v>0.08024258719069131</v>
      </c>
      <c r="C64" s="90"/>
      <c r="D64" s="90"/>
      <c r="E64" s="90"/>
      <c r="K64" s="108"/>
    </row>
    <row r="65" spans="1:11" ht="12.75">
      <c r="A65" s="92"/>
      <c r="B65" s="61"/>
      <c r="C65" s="90"/>
      <c r="D65" s="90"/>
      <c r="E65" s="90"/>
      <c r="K65" s="108"/>
    </row>
    <row r="66" spans="1:11" ht="12.75">
      <c r="A66" s="99" t="s">
        <v>53</v>
      </c>
      <c r="B66" s="140">
        <f>(B49+B50+(B51*B63))*B58</f>
        <v>0</v>
      </c>
      <c r="C66" s="90"/>
      <c r="D66" s="62"/>
      <c r="E66" s="90"/>
      <c r="K66" s="108"/>
    </row>
    <row r="67" spans="1:11" ht="25.5">
      <c r="A67" s="106" t="s">
        <v>166</v>
      </c>
      <c r="B67" s="140">
        <f>((B64*(B49+B50))+B51)*B58</f>
        <v>0</v>
      </c>
      <c r="C67" s="90"/>
      <c r="D67" s="62"/>
      <c r="E67" s="90"/>
      <c r="K67" s="105"/>
    </row>
    <row r="68" spans="1:30" ht="12.75">
      <c r="A68" s="106"/>
      <c r="B68" s="130"/>
      <c r="K68" s="105"/>
      <c r="L68" s="131"/>
      <c r="M68" s="131"/>
      <c r="N68" s="131"/>
      <c r="O68" s="131"/>
      <c r="P68" s="85"/>
      <c r="Q68" s="85"/>
      <c r="R68" s="85"/>
      <c r="S68" s="131"/>
      <c r="T68" s="85" t="s">
        <v>3</v>
      </c>
      <c r="U68" s="131"/>
      <c r="V68" s="131"/>
      <c r="W68" s="131"/>
      <c r="X68" s="131"/>
      <c r="Y68" s="131"/>
      <c r="Z68" s="131"/>
      <c r="AA68" s="131"/>
      <c r="AB68" s="131"/>
      <c r="AC68" s="111"/>
      <c r="AD68" s="111"/>
    </row>
    <row r="69" spans="2:30" ht="12.75">
      <c r="B69" s="130"/>
      <c r="K69" s="105"/>
      <c r="L69" s="85"/>
      <c r="M69" s="132"/>
      <c r="N69" s="132"/>
      <c r="O69" s="132"/>
      <c r="P69" s="85"/>
      <c r="Q69" s="132"/>
      <c r="R69" s="132"/>
      <c r="S69" s="132"/>
      <c r="T69" s="85" t="s">
        <v>12</v>
      </c>
      <c r="U69" s="132"/>
      <c r="V69" s="132"/>
      <c r="W69" s="132"/>
      <c r="X69" s="133"/>
      <c r="Y69" s="85"/>
      <c r="Z69" s="132"/>
      <c r="AA69" s="132"/>
      <c r="AB69" s="132"/>
      <c r="AC69" s="111"/>
      <c r="AD69" s="111"/>
    </row>
    <row r="70" spans="11:30" ht="12.75">
      <c r="K70" s="105"/>
      <c r="L70" s="85"/>
      <c r="M70" s="132"/>
      <c r="N70" s="132"/>
      <c r="O70" s="132"/>
      <c r="P70" s="85"/>
      <c r="Q70" s="132"/>
      <c r="R70" s="132"/>
      <c r="S70" s="132"/>
      <c r="T70" s="85" t="s">
        <v>13</v>
      </c>
      <c r="U70" s="132"/>
      <c r="V70" s="132"/>
      <c r="W70" s="132"/>
      <c r="X70" s="133"/>
      <c r="Y70" s="85"/>
      <c r="Z70" s="132"/>
      <c r="AA70" s="132"/>
      <c r="AB70" s="132"/>
      <c r="AC70" s="111"/>
      <c r="AD70" s="111"/>
    </row>
    <row r="71" spans="11:30" ht="12.75">
      <c r="K71" s="111"/>
      <c r="L71" s="85"/>
      <c r="M71" s="132"/>
      <c r="N71" s="132"/>
      <c r="O71" s="132"/>
      <c r="P71" s="85"/>
      <c r="Q71" s="132"/>
      <c r="R71" s="132"/>
      <c r="S71" s="132"/>
      <c r="T71" s="132"/>
      <c r="U71" s="132"/>
      <c r="V71" s="132"/>
      <c r="W71" s="132"/>
      <c r="X71" s="133"/>
      <c r="Y71" s="85"/>
      <c r="Z71" s="132"/>
      <c r="AA71" s="132"/>
      <c r="AB71" s="132"/>
      <c r="AC71" s="111"/>
      <c r="AD71" s="111"/>
    </row>
    <row r="72" spans="11:30" ht="12.75">
      <c r="K72" s="111"/>
      <c r="L72" s="111"/>
      <c r="M72" s="111"/>
      <c r="N72" s="111"/>
      <c r="O72" s="132"/>
      <c r="P72" s="85"/>
      <c r="Q72" s="132"/>
      <c r="R72" s="132"/>
      <c r="S72" s="132"/>
      <c r="T72" s="132"/>
      <c r="U72" s="132"/>
      <c r="V72" s="132"/>
      <c r="W72" s="132"/>
      <c r="X72" s="133"/>
      <c r="Y72" s="85"/>
      <c r="Z72" s="132"/>
      <c r="AA72" s="132"/>
      <c r="AB72" s="132"/>
      <c r="AC72" s="111"/>
      <c r="AD72" s="111"/>
    </row>
    <row r="73" spans="11:30" ht="12.75">
      <c r="K73" s="111"/>
      <c r="L73" s="132"/>
      <c r="M73" s="132"/>
      <c r="N73" s="132"/>
      <c r="O73" s="132"/>
      <c r="P73" s="85"/>
      <c r="Q73" s="132"/>
      <c r="R73" s="132"/>
      <c r="S73" s="132"/>
      <c r="T73" s="132"/>
      <c r="U73" s="132"/>
      <c r="V73" s="132"/>
      <c r="W73" s="132"/>
      <c r="X73" s="133"/>
      <c r="Y73" s="85"/>
      <c r="Z73" s="132"/>
      <c r="AA73" s="132"/>
      <c r="AB73" s="132"/>
      <c r="AC73" s="111"/>
      <c r="AD73" s="111"/>
    </row>
    <row r="74" spans="12:28" ht="12.75"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</row>
    <row r="75" spans="12:28" ht="12.75"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</row>
    <row r="76" spans="12:28" ht="12.75"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</row>
    <row r="77" spans="12:28" ht="12.75"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</row>
    <row r="78" spans="12:28" ht="12.75">
      <c r="L78" s="86" t="s">
        <v>5</v>
      </c>
      <c r="M78" s="63">
        <f>SUM(L76:AB76)</f>
        <v>0</v>
      </c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</row>
    <row r="80" spans="10:11" ht="12.75">
      <c r="J80" s="64">
        <v>7.09</v>
      </c>
      <c r="K80" s="111"/>
    </row>
    <row r="81" spans="10:11" ht="12.75">
      <c r="J81" s="64">
        <v>5.87</v>
      </c>
      <c r="K81" s="111"/>
    </row>
    <row r="82" spans="10:11" ht="12.75">
      <c r="J82" s="64">
        <v>86.29</v>
      </c>
      <c r="K82" s="111"/>
    </row>
    <row r="83" spans="10:11" ht="12.75">
      <c r="J83" s="64">
        <v>6.12</v>
      </c>
      <c r="K83" s="111"/>
    </row>
    <row r="84" spans="10:11" ht="12.75">
      <c r="J84" s="64">
        <v>6.72</v>
      </c>
      <c r="K84" s="111"/>
    </row>
    <row r="85" spans="10:11" ht="12.75">
      <c r="J85" s="111"/>
      <c r="K85" s="111"/>
    </row>
    <row r="86" spans="10:11" ht="12.75">
      <c r="J86" s="132"/>
      <c r="K86" s="111"/>
    </row>
    <row r="87" spans="10:16" ht="12.75">
      <c r="J87" s="132"/>
      <c r="K87" s="111"/>
      <c r="L87" s="111">
        <v>0</v>
      </c>
      <c r="M87" s="85"/>
      <c r="N87" s="111">
        <v>0</v>
      </c>
      <c r="O87" s="111"/>
      <c r="P87" s="63" t="s">
        <v>11</v>
      </c>
    </row>
    <row r="88" spans="10:16" ht="12.75">
      <c r="J88" s="132"/>
      <c r="K88" s="111"/>
      <c r="L88" s="111">
        <v>1</v>
      </c>
      <c r="M88" s="85" t="s">
        <v>149</v>
      </c>
      <c r="N88" s="64">
        <v>7.09</v>
      </c>
      <c r="O88" s="111"/>
      <c r="P88" s="63">
        <v>8</v>
      </c>
    </row>
    <row r="89" spans="10:16" ht="12.75">
      <c r="J89" s="132"/>
      <c r="K89" s="111"/>
      <c r="L89" s="111">
        <v>2</v>
      </c>
      <c r="M89" s="85" t="s">
        <v>150</v>
      </c>
      <c r="N89" s="64">
        <v>5.87</v>
      </c>
      <c r="O89" s="111"/>
      <c r="P89" s="63">
        <v>12</v>
      </c>
    </row>
    <row r="90" spans="10:16" ht="12.75">
      <c r="J90" s="132"/>
      <c r="K90" s="111"/>
      <c r="L90" s="111">
        <v>3</v>
      </c>
      <c r="M90" s="85" t="s">
        <v>151</v>
      </c>
      <c r="N90" s="64">
        <v>86.29</v>
      </c>
      <c r="O90" s="111"/>
      <c r="P90" s="63">
        <v>15</v>
      </c>
    </row>
    <row r="91" spans="10:16" ht="12.75">
      <c r="J91" s="132"/>
      <c r="K91" s="111"/>
      <c r="L91" s="111">
        <v>4</v>
      </c>
      <c r="M91" s="85" t="s">
        <v>153</v>
      </c>
      <c r="N91" s="64">
        <v>6.12</v>
      </c>
      <c r="O91" s="111"/>
      <c r="P91" s="63">
        <v>18</v>
      </c>
    </row>
    <row r="92" spans="10:16" ht="12.75">
      <c r="J92" s="132"/>
      <c r="K92" s="111"/>
      <c r="L92" s="111">
        <v>5</v>
      </c>
      <c r="M92" s="85" t="s">
        <v>152</v>
      </c>
      <c r="N92" s="64">
        <v>6.72</v>
      </c>
      <c r="O92" s="111"/>
      <c r="P92" s="63">
        <v>24</v>
      </c>
    </row>
    <row r="93" spans="10:16" ht="12.75">
      <c r="J93" s="132"/>
      <c r="K93" s="111"/>
      <c r="P93" s="63">
        <v>36</v>
      </c>
    </row>
    <row r="94" spans="10:16" ht="12.75">
      <c r="J94" s="132"/>
      <c r="K94" s="111"/>
      <c r="L94" s="111"/>
      <c r="M94" s="134" t="s">
        <v>6</v>
      </c>
      <c r="N94" s="111"/>
      <c r="O94" s="111"/>
      <c r="P94" s="63">
        <v>48</v>
      </c>
    </row>
    <row r="95" spans="1:15" ht="12.75">
      <c r="A95" s="96" t="s">
        <v>89</v>
      </c>
      <c r="J95" s="132"/>
      <c r="K95" s="111"/>
      <c r="L95" s="108"/>
      <c r="M95" s="108"/>
      <c r="N95" s="131"/>
      <c r="O95" s="111"/>
    </row>
    <row r="96" spans="1:15" ht="12.75">
      <c r="A96" s="107" t="s">
        <v>60</v>
      </c>
      <c r="B96" s="86">
        <v>6</v>
      </c>
      <c r="J96" s="132"/>
      <c r="K96" s="111"/>
      <c r="L96" s="108"/>
      <c r="M96" s="108"/>
      <c r="N96" s="131"/>
      <c r="O96" s="111"/>
    </row>
    <row r="97" spans="1:15" ht="12.75">
      <c r="A97" s="96" t="s">
        <v>61</v>
      </c>
      <c r="B97" s="86">
        <v>36</v>
      </c>
      <c r="J97" s="132"/>
      <c r="K97" s="111"/>
      <c r="L97" s="64"/>
      <c r="M97" s="64"/>
      <c r="N97" s="64"/>
      <c r="O97" s="111"/>
    </row>
    <row r="98" spans="10:15" ht="12.75">
      <c r="J98" s="132"/>
      <c r="K98" s="111"/>
      <c r="L98" s="64"/>
      <c r="M98" s="64"/>
      <c r="N98" s="64"/>
      <c r="O98" s="111"/>
    </row>
    <row r="99" spans="1:15" ht="12.75">
      <c r="A99" s="86" t="s">
        <v>79</v>
      </c>
      <c r="J99" s="132"/>
      <c r="K99" s="111"/>
      <c r="L99" s="64"/>
      <c r="M99" s="64"/>
      <c r="N99" s="64"/>
      <c r="O99" s="111"/>
    </row>
    <row r="100" spans="1:15" ht="12.75">
      <c r="A100" s="64">
        <v>18</v>
      </c>
      <c r="B100" s="64">
        <v>1</v>
      </c>
      <c r="C100" s="64">
        <v>18</v>
      </c>
      <c r="J100" s="132"/>
      <c r="K100" s="111"/>
      <c r="L100" s="64"/>
      <c r="M100" s="64"/>
      <c r="N100" s="64"/>
      <c r="O100" s="111"/>
    </row>
    <row r="101" spans="1:15" ht="12.75">
      <c r="A101" s="64">
        <v>21</v>
      </c>
      <c r="B101" s="64">
        <v>2</v>
      </c>
      <c r="C101" s="64">
        <v>21</v>
      </c>
      <c r="J101" s="132"/>
      <c r="K101" s="111"/>
      <c r="L101" s="64"/>
      <c r="M101" s="64"/>
      <c r="N101" s="64"/>
      <c r="O101" s="111"/>
    </row>
    <row r="102" spans="1:15" ht="12.75">
      <c r="A102" s="64">
        <v>24</v>
      </c>
      <c r="B102" s="64">
        <v>3</v>
      </c>
      <c r="C102" s="64">
        <v>24</v>
      </c>
      <c r="J102" s="132"/>
      <c r="K102" s="111"/>
      <c r="L102" s="111"/>
      <c r="M102" s="111"/>
      <c r="N102" s="111"/>
      <c r="O102" s="111"/>
    </row>
    <row r="103" spans="1:11" ht="12.75">
      <c r="A103" s="64">
        <v>27</v>
      </c>
      <c r="B103" s="64">
        <v>4</v>
      </c>
      <c r="C103" s="64">
        <v>27</v>
      </c>
      <c r="J103" s="132"/>
      <c r="K103" s="111"/>
    </row>
    <row r="104" spans="1:11" ht="12.75">
      <c r="A104" s="64">
        <v>30</v>
      </c>
      <c r="B104" s="64">
        <v>5</v>
      </c>
      <c r="C104" s="64">
        <v>30</v>
      </c>
      <c r="J104" s="132"/>
      <c r="K104" s="111"/>
    </row>
    <row r="105" spans="1:11" ht="12.75">
      <c r="A105" s="64">
        <v>36</v>
      </c>
      <c r="B105" s="64">
        <v>6</v>
      </c>
      <c r="C105" s="64">
        <v>36</v>
      </c>
      <c r="J105" s="132"/>
      <c r="K105" s="111"/>
    </row>
    <row r="106" spans="1:11" ht="12.75">
      <c r="A106" s="64">
        <v>42</v>
      </c>
      <c r="B106" s="64">
        <v>7</v>
      </c>
      <c r="C106" s="64">
        <v>42</v>
      </c>
      <c r="J106" s="132"/>
      <c r="K106" s="111"/>
    </row>
    <row r="107" spans="1:11" ht="12.75">
      <c r="A107" s="64">
        <v>48</v>
      </c>
      <c r="B107" s="64">
        <v>8</v>
      </c>
      <c r="C107" s="64">
        <v>48</v>
      </c>
      <c r="J107" s="132"/>
      <c r="K107" s="111"/>
    </row>
    <row r="108" spans="1:11" ht="12.75">
      <c r="A108" s="64">
        <v>60</v>
      </c>
      <c r="B108" s="64">
        <v>9</v>
      </c>
      <c r="C108" s="64">
        <v>60</v>
      </c>
      <c r="J108" s="132"/>
      <c r="K108" s="111"/>
    </row>
    <row r="109" spans="1:11" ht="12.75">
      <c r="A109" s="64">
        <v>72</v>
      </c>
      <c r="B109" s="64">
        <v>10</v>
      </c>
      <c r="C109" s="64">
        <v>72</v>
      </c>
      <c r="J109" s="132"/>
      <c r="K109" s="111"/>
    </row>
    <row r="110" spans="1:11" ht="12.75">
      <c r="A110" s="64">
        <v>84</v>
      </c>
      <c r="B110" s="64">
        <v>11</v>
      </c>
      <c r="C110" s="64">
        <v>84</v>
      </c>
      <c r="J110" s="132"/>
      <c r="K110" s="111"/>
    </row>
    <row r="111" spans="1:11" ht="12.75">
      <c r="A111" s="64">
        <v>96</v>
      </c>
      <c r="B111" s="64">
        <v>12</v>
      </c>
      <c r="C111" s="64">
        <v>96</v>
      </c>
      <c r="J111" s="132"/>
      <c r="K111" s="111"/>
    </row>
    <row r="112" spans="10:11" ht="12.75">
      <c r="J112" s="132"/>
      <c r="K112" s="111"/>
    </row>
    <row r="113" spans="1:101" ht="12.75">
      <c r="A113" s="87" t="s">
        <v>161</v>
      </c>
      <c r="B113" s="63">
        <f>VLOOKUP(B$4,'pipe data'!$A$49:$CW$62,2,0)</f>
        <v>8</v>
      </c>
      <c r="C113" s="63">
        <f>VLOOKUP(C$4,'pipe data'!$A$49:$CW$62,3,0)</f>
        <v>8</v>
      </c>
      <c r="D113" s="63">
        <f>VLOOKUP(D$4,'pipe data'!$A$49:$CW$62,4,0)</f>
        <v>8</v>
      </c>
      <c r="E113" s="63">
        <f>VLOOKUP(E$4,'pipe data'!$A$49:$CW$62,5,0)</f>
        <v>8</v>
      </c>
      <c r="F113" s="63">
        <f>VLOOKUP(F$4,'pipe data'!$A$49:$CW$62,6,0)</f>
        <v>8</v>
      </c>
      <c r="G113" s="63">
        <f>VLOOKUP(G$4,'pipe data'!$A$49:$CW$62,7,0)</f>
        <v>8</v>
      </c>
      <c r="H113" s="63">
        <f>VLOOKUP(H$4,'pipe data'!$A$49:$CW$62,8,0)</f>
        <v>8</v>
      </c>
      <c r="I113" s="63">
        <f>VLOOKUP(I$4,'pipe data'!$A$49:$CW$62,9,0)</f>
        <v>8</v>
      </c>
      <c r="J113" s="63">
        <f>VLOOKUP(J$4,'pipe data'!$A$49:$CW$62,10,0)</f>
        <v>8</v>
      </c>
      <c r="K113" s="63">
        <f>VLOOKUP(K$4,'pipe data'!$A$49:$CW$62,11,0)</f>
        <v>8</v>
      </c>
      <c r="L113" s="63">
        <f>VLOOKUP(L$4,'pipe data'!$A$49:$CW$62,12,0)</f>
        <v>8</v>
      </c>
      <c r="M113" s="63">
        <f>VLOOKUP(M$4,'pipe data'!$A$49:$CW$62,13,0)</f>
        <v>8</v>
      </c>
      <c r="N113" s="63">
        <f>VLOOKUP(N$4,'pipe data'!$A$49:$CW$62,14,0)</f>
        <v>8</v>
      </c>
      <c r="O113" s="63">
        <f>VLOOKUP(O$4,'pipe data'!$A$49:$CW$62,15,0)</f>
        <v>8</v>
      </c>
      <c r="P113" s="63">
        <f>VLOOKUP(P$4,'pipe data'!$A$49:$CW$62,16,0)</f>
        <v>8</v>
      </c>
      <c r="Q113" s="63">
        <f>VLOOKUP(Q$4,'pipe data'!$A$49:$CW$62,17,0)</f>
        <v>8</v>
      </c>
      <c r="R113" s="63">
        <f>VLOOKUP(R$4,'pipe data'!$A$49:$CW$62,18,0)</f>
        <v>8</v>
      </c>
      <c r="S113" s="63">
        <f>VLOOKUP(S$4,'pipe data'!$A$49:$CW$62,19,0)</f>
        <v>8</v>
      </c>
      <c r="T113" s="63">
        <f>VLOOKUP(T$4,'pipe data'!$A$49:$CW$62,20,0)</f>
        <v>8</v>
      </c>
      <c r="U113" s="63">
        <f>VLOOKUP(U$4,'pipe data'!$A$49:$CW$62,21,0)</f>
        <v>8</v>
      </c>
      <c r="V113" s="63">
        <f>VLOOKUP(V$4,'pipe data'!$A$49:$CW$62,22,0)</f>
        <v>8</v>
      </c>
      <c r="W113" s="63">
        <f>VLOOKUP(W$4,'pipe data'!$A$49:$CW$62,23,0)</f>
        <v>8</v>
      </c>
      <c r="X113" s="63">
        <f>VLOOKUP(X$4,'pipe data'!$A$49:$CW$62,24,0)</f>
        <v>8</v>
      </c>
      <c r="Y113" s="63">
        <f>VLOOKUP(Y$4,'pipe data'!$A$49:$CW$62,25,0)</f>
        <v>8</v>
      </c>
      <c r="Z113" s="63">
        <f>VLOOKUP(Z$4,'pipe data'!$A$49:$CW$62,26,0)</f>
        <v>8</v>
      </c>
      <c r="AA113" s="63">
        <f>VLOOKUP(AA$4,'pipe data'!$A$49:$CW$62,27,0)</f>
        <v>8</v>
      </c>
      <c r="AB113" s="63">
        <f>VLOOKUP(AB$4,'pipe data'!$A$49:$CW$62,28,0)</f>
        <v>8</v>
      </c>
      <c r="AC113" s="63">
        <f>VLOOKUP(AC$4,'pipe data'!$A$49:$CW$62,29,0)</f>
        <v>8</v>
      </c>
      <c r="AD113" s="63">
        <f>VLOOKUP(AD$4,'pipe data'!$A$49:$CW$62,30,0)</f>
        <v>8</v>
      </c>
      <c r="AE113" s="63">
        <f>VLOOKUP(AE$4,'pipe data'!$A$49:$CW$62,31,0)</f>
        <v>8</v>
      </c>
      <c r="AF113" s="63">
        <f>VLOOKUP(AF$4,'pipe data'!$A$49:$CW$62,32,0)</f>
        <v>8</v>
      </c>
      <c r="AG113" s="63">
        <f>VLOOKUP(AG$4,'pipe data'!$A$49:$CW$62,33,0)</f>
        <v>8</v>
      </c>
      <c r="AH113" s="63">
        <f>VLOOKUP(AH$4,'pipe data'!$A$49:$CW$62,34,0)</f>
        <v>8</v>
      </c>
      <c r="AI113" s="63">
        <f>VLOOKUP(AI$4,'pipe data'!$A$49:$CW$62,35,0)</f>
        <v>8</v>
      </c>
      <c r="AJ113" s="63">
        <f>VLOOKUP(AJ$4,'pipe data'!$A$49:$CW$62,36,0)</f>
        <v>8</v>
      </c>
      <c r="AK113" s="63">
        <f>VLOOKUP(AK$4,'pipe data'!$A$49:$CW$62,37,0)</f>
        <v>8</v>
      </c>
      <c r="AL113" s="63">
        <f>VLOOKUP(AL$4,'pipe data'!$A$49:$CW$62,38,0)</f>
        <v>8</v>
      </c>
      <c r="AM113" s="63">
        <f>VLOOKUP(AM$4,'pipe data'!$A$49:$CW$62,39,0)</f>
        <v>8</v>
      </c>
      <c r="AN113" s="63">
        <f>VLOOKUP(AN$4,'pipe data'!$A$49:$CW$62,40,0)</f>
        <v>8</v>
      </c>
      <c r="AO113" s="63">
        <f>VLOOKUP(AO$4,'pipe data'!$A$49:$CW$62,41,0)</f>
        <v>8</v>
      </c>
      <c r="AP113" s="63">
        <f>VLOOKUP(AP$4,'pipe data'!$A$49:$CW$62,42,0)</f>
        <v>8</v>
      </c>
      <c r="AQ113" s="63">
        <f>VLOOKUP(AQ$4,'pipe data'!$A$49:$CW$62,43,0)</f>
        <v>8</v>
      </c>
      <c r="AR113" s="63">
        <f>VLOOKUP(AR$4,'pipe data'!$A$49:$CW$62,44,0)</f>
        <v>8</v>
      </c>
      <c r="AS113" s="63">
        <f>VLOOKUP(AS$4,'pipe data'!$A$49:$CW$62,45,0)</f>
        <v>8</v>
      </c>
      <c r="AT113" s="63">
        <f>VLOOKUP(AT$4,'pipe data'!$A$49:$CW$62,46,0)</f>
        <v>8</v>
      </c>
      <c r="AU113" s="63">
        <f>VLOOKUP(AU$4,'pipe data'!$A$49:$CW$62,47,0)</f>
        <v>8</v>
      </c>
      <c r="AV113" s="63">
        <f>VLOOKUP(AV$4,'pipe data'!$A$49:$CW$62,48,0)</f>
        <v>8</v>
      </c>
      <c r="AW113" s="63">
        <f>VLOOKUP(AW$4,'pipe data'!$A$49:$CW$62,49,0)</f>
        <v>8</v>
      </c>
      <c r="AX113" s="63">
        <f>VLOOKUP(AX$4,'pipe data'!$A$49:$CW$62,50,0)</f>
        <v>8</v>
      </c>
      <c r="AY113" s="63">
        <f>VLOOKUP(AY$4,'pipe data'!$A$49:$CW$62,51,0)</f>
        <v>8</v>
      </c>
      <c r="AZ113" s="63">
        <f>VLOOKUP(AZ$4,'pipe data'!$A$49:$CW$62,52,0)</f>
        <v>8</v>
      </c>
      <c r="BA113" s="63">
        <f>VLOOKUP(BA$4,'pipe data'!$A$49:$CW$62,53,0)</f>
        <v>8</v>
      </c>
      <c r="BB113" s="63">
        <f>VLOOKUP(BB$4,'pipe data'!$A$49:$CW$62,54,0)</f>
        <v>8</v>
      </c>
      <c r="BC113" s="63">
        <f>VLOOKUP(BC$4,'pipe data'!$A$49:$CW$62,55,0)</f>
        <v>8</v>
      </c>
      <c r="BD113" s="63">
        <f>VLOOKUP(BD$4,'pipe data'!$A$49:$CW$62,56,0)</f>
        <v>8</v>
      </c>
      <c r="BE113" s="63">
        <f>VLOOKUP(BE$4,'pipe data'!$A$49:$CW$62,57,0)</f>
        <v>8</v>
      </c>
      <c r="BF113" s="63">
        <f>VLOOKUP(BF$4,'pipe data'!$A$49:$CW$62,58,0)</f>
        <v>8</v>
      </c>
      <c r="BG113" s="63">
        <f>VLOOKUP(BG$4,'pipe data'!$A$49:$CW$62,59,0)</f>
        <v>8</v>
      </c>
      <c r="BH113" s="63">
        <f>VLOOKUP(BH$4,'pipe data'!$A$49:$CW$62,60,0)</f>
        <v>8</v>
      </c>
      <c r="BI113" s="63">
        <f>VLOOKUP(BI$4,'pipe data'!$A$49:$CW$62,61,0)</f>
        <v>8</v>
      </c>
      <c r="BJ113" s="63">
        <f>VLOOKUP(BJ$4,'pipe data'!$A$49:$CW$62,62,0)</f>
        <v>8</v>
      </c>
      <c r="BK113" s="63">
        <f>VLOOKUP(BK$4,'pipe data'!$A$49:$CW$62,63,0)</f>
        <v>8</v>
      </c>
      <c r="BL113" s="63">
        <f>VLOOKUP(BL$4,'pipe data'!$A$49:$CW$62,64,0)</f>
        <v>8</v>
      </c>
      <c r="BM113" s="63">
        <f>VLOOKUP(BM$4,'pipe data'!$A$49:$CW$62,65,0)</f>
        <v>8</v>
      </c>
      <c r="BN113" s="63">
        <f>VLOOKUP(BN$4,'pipe data'!$A$49:$CW$62,66,0)</f>
        <v>8</v>
      </c>
      <c r="BO113" s="63">
        <f>VLOOKUP(BO$4,'pipe data'!$A$49:$CW$62,67,0)</f>
        <v>8</v>
      </c>
      <c r="BP113" s="63">
        <f>VLOOKUP(BP$4,'pipe data'!$A$49:$CW$62,68,0)</f>
        <v>8</v>
      </c>
      <c r="BQ113" s="63">
        <f>VLOOKUP(BQ$4,'pipe data'!$A$49:$CW$62,69,0)</f>
        <v>8</v>
      </c>
      <c r="BR113" s="63">
        <f>VLOOKUP(BR$4,'pipe data'!$A$49:$CW$62,70,0)</f>
        <v>8</v>
      </c>
      <c r="BS113" s="63">
        <f>VLOOKUP(BS$4,'pipe data'!$A$49:$CW$62,71,0)</f>
        <v>8</v>
      </c>
      <c r="BT113" s="63">
        <f>VLOOKUP(BT$4,'pipe data'!$A$49:$CW$62,72,0)</f>
        <v>8</v>
      </c>
      <c r="BU113" s="63">
        <f>VLOOKUP(BU$4,'pipe data'!$A$49:$CW$62,73,0)</f>
        <v>8</v>
      </c>
      <c r="BV113" s="63">
        <f>VLOOKUP(BV$4,'pipe data'!$A$49:$CW$62,74,0)</f>
        <v>8</v>
      </c>
      <c r="BW113" s="63">
        <f>VLOOKUP(BW$4,'pipe data'!$A$49:$CW$62,75,0)</f>
        <v>8</v>
      </c>
      <c r="BX113" s="63">
        <f>VLOOKUP(BX$4,'pipe data'!$A$49:$CW$62,76,0)</f>
        <v>8</v>
      </c>
      <c r="BY113" s="63">
        <f>VLOOKUP(BY$4,'pipe data'!$A$49:$CW$62,77,0)</f>
        <v>8</v>
      </c>
      <c r="BZ113" s="63">
        <f>VLOOKUP(BZ$4,'pipe data'!$A$49:$CW$62,78,0)</f>
        <v>8</v>
      </c>
      <c r="CA113" s="63">
        <f>VLOOKUP(CA$4,'pipe data'!$A$49:$CW$62,79,0)</f>
        <v>8</v>
      </c>
      <c r="CB113" s="63">
        <f>VLOOKUP(CB$4,'pipe data'!$A$49:$CW$62,80,0)</f>
        <v>8</v>
      </c>
      <c r="CC113" s="63">
        <f>VLOOKUP(CC$4,'pipe data'!$A$49:$CW$62,81,0)</f>
        <v>8</v>
      </c>
      <c r="CD113" s="63">
        <f>VLOOKUP(CD$4,'pipe data'!$A$49:$CW$62,82,0)</f>
        <v>8</v>
      </c>
      <c r="CE113" s="63">
        <f>VLOOKUP(CE$4,'pipe data'!$A$49:$CW$62,83,0)</f>
        <v>8</v>
      </c>
      <c r="CF113" s="63">
        <f>VLOOKUP(CF$4,'pipe data'!$A$49:$CW$62,84,0)</f>
        <v>8</v>
      </c>
      <c r="CG113" s="63">
        <f>VLOOKUP(CG$4,'pipe data'!$A$49:$CW$62,85,0)</f>
        <v>8</v>
      </c>
      <c r="CH113" s="63">
        <f>VLOOKUP(CH$4,'pipe data'!$A$49:$CW$62,86,0)</f>
        <v>8</v>
      </c>
      <c r="CI113" s="63">
        <f>VLOOKUP(CI$4,'pipe data'!$A$49:$CW$62,87,0)</f>
        <v>8</v>
      </c>
      <c r="CJ113" s="63">
        <f>VLOOKUP(CJ$4,'pipe data'!$A$49:$CW$62,88,0)</f>
        <v>8</v>
      </c>
      <c r="CK113" s="63">
        <f>VLOOKUP(CK$4,'pipe data'!$A$49:$CW$62,89,0)</f>
        <v>8</v>
      </c>
      <c r="CL113" s="63">
        <f>VLOOKUP(CL$4,'pipe data'!$A$49:$CW$62,90,0)</f>
        <v>8</v>
      </c>
      <c r="CM113" s="63">
        <f>VLOOKUP(CM$4,'pipe data'!$A$49:$CW$62,91,0)</f>
        <v>8</v>
      </c>
      <c r="CN113" s="63">
        <f>VLOOKUP(CN$4,'pipe data'!$A$49:$CW$62,92,0)</f>
        <v>8</v>
      </c>
      <c r="CO113" s="63">
        <f>VLOOKUP(CO$4,'pipe data'!$A$49:$CW$62,93,0)</f>
        <v>8</v>
      </c>
      <c r="CP113" s="63">
        <f>VLOOKUP(CP$4,'pipe data'!$A$49:$CW$62,94,0)</f>
        <v>8</v>
      </c>
      <c r="CQ113" s="63">
        <f>VLOOKUP(CQ$4,'pipe data'!$A$49:$CW$62,95,0)</f>
        <v>8</v>
      </c>
      <c r="CR113" s="63">
        <f>VLOOKUP(CR$4,'pipe data'!$A$49:$CW$62,96,0)</f>
        <v>8</v>
      </c>
      <c r="CS113" s="63">
        <f>VLOOKUP(CS$4,'pipe data'!$A$49:$CW$62,97,0)</f>
        <v>8</v>
      </c>
      <c r="CT113" s="63">
        <f>VLOOKUP(CT$4,'pipe data'!$A$49:$CW$62,98,0)</f>
        <v>8</v>
      </c>
      <c r="CU113" s="63">
        <f>VLOOKUP(CU$4,'pipe data'!$A$49:$CW$62,99,0)</f>
        <v>8</v>
      </c>
      <c r="CV113" s="63">
        <f>VLOOKUP(CV$4,'pipe data'!$A$49:$CW$62,100,0)</f>
        <v>8</v>
      </c>
      <c r="CW113" s="63">
        <f>VLOOKUP(CW$4,'pipe data'!$A$49:$CW$62,101,0)</f>
        <v>8</v>
      </c>
    </row>
    <row r="114" spans="2:101" ht="12.75">
      <c r="B114" s="159">
        <f>B$113</f>
        <v>8</v>
      </c>
      <c r="C114" s="63">
        <f aca="true" t="shared" si="26" ref="C114:BN114">C$113</f>
        <v>8</v>
      </c>
      <c r="D114" s="63">
        <f t="shared" si="26"/>
        <v>8</v>
      </c>
      <c r="E114" s="63">
        <f t="shared" si="26"/>
        <v>8</v>
      </c>
      <c r="F114" s="63">
        <f t="shared" si="26"/>
        <v>8</v>
      </c>
      <c r="G114" s="63">
        <f t="shared" si="26"/>
        <v>8</v>
      </c>
      <c r="H114" s="63">
        <f t="shared" si="26"/>
        <v>8</v>
      </c>
      <c r="I114" s="63">
        <f t="shared" si="26"/>
        <v>8</v>
      </c>
      <c r="J114" s="63">
        <f t="shared" si="26"/>
        <v>8</v>
      </c>
      <c r="K114" s="63">
        <f t="shared" si="26"/>
        <v>8</v>
      </c>
      <c r="L114" s="63">
        <f t="shared" si="26"/>
        <v>8</v>
      </c>
      <c r="M114" s="63">
        <f t="shared" si="26"/>
        <v>8</v>
      </c>
      <c r="N114" s="63">
        <f t="shared" si="26"/>
        <v>8</v>
      </c>
      <c r="O114" s="63">
        <f t="shared" si="26"/>
        <v>8</v>
      </c>
      <c r="P114" s="63">
        <f t="shared" si="26"/>
        <v>8</v>
      </c>
      <c r="Q114" s="63">
        <f t="shared" si="26"/>
        <v>8</v>
      </c>
      <c r="R114" s="63">
        <f t="shared" si="26"/>
        <v>8</v>
      </c>
      <c r="S114" s="63">
        <f t="shared" si="26"/>
        <v>8</v>
      </c>
      <c r="T114" s="63">
        <f t="shared" si="26"/>
        <v>8</v>
      </c>
      <c r="U114" s="63">
        <f t="shared" si="26"/>
        <v>8</v>
      </c>
      <c r="V114" s="63">
        <f t="shared" si="26"/>
        <v>8</v>
      </c>
      <c r="W114" s="63">
        <f t="shared" si="26"/>
        <v>8</v>
      </c>
      <c r="X114" s="63">
        <f t="shared" si="26"/>
        <v>8</v>
      </c>
      <c r="Y114" s="63">
        <f t="shared" si="26"/>
        <v>8</v>
      </c>
      <c r="Z114" s="63">
        <f t="shared" si="26"/>
        <v>8</v>
      </c>
      <c r="AA114" s="63">
        <f t="shared" si="26"/>
        <v>8</v>
      </c>
      <c r="AB114" s="63">
        <f t="shared" si="26"/>
        <v>8</v>
      </c>
      <c r="AC114" s="63">
        <f t="shared" si="26"/>
        <v>8</v>
      </c>
      <c r="AD114" s="63">
        <f t="shared" si="26"/>
        <v>8</v>
      </c>
      <c r="AE114" s="63">
        <f t="shared" si="26"/>
        <v>8</v>
      </c>
      <c r="AF114" s="63">
        <f t="shared" si="26"/>
        <v>8</v>
      </c>
      <c r="AG114" s="63">
        <f t="shared" si="26"/>
        <v>8</v>
      </c>
      <c r="AH114" s="63">
        <f t="shared" si="26"/>
        <v>8</v>
      </c>
      <c r="AI114" s="63">
        <f t="shared" si="26"/>
        <v>8</v>
      </c>
      <c r="AJ114" s="63">
        <f t="shared" si="26"/>
        <v>8</v>
      </c>
      <c r="AK114" s="63">
        <f t="shared" si="26"/>
        <v>8</v>
      </c>
      <c r="AL114" s="63">
        <f t="shared" si="26"/>
        <v>8</v>
      </c>
      <c r="AM114" s="63">
        <f t="shared" si="26"/>
        <v>8</v>
      </c>
      <c r="AN114" s="63">
        <f t="shared" si="26"/>
        <v>8</v>
      </c>
      <c r="AO114" s="63">
        <f t="shared" si="26"/>
        <v>8</v>
      </c>
      <c r="AP114" s="63">
        <f t="shared" si="26"/>
        <v>8</v>
      </c>
      <c r="AQ114" s="63">
        <f t="shared" si="26"/>
        <v>8</v>
      </c>
      <c r="AR114" s="63">
        <f t="shared" si="26"/>
        <v>8</v>
      </c>
      <c r="AS114" s="63">
        <f t="shared" si="26"/>
        <v>8</v>
      </c>
      <c r="AT114" s="63">
        <f t="shared" si="26"/>
        <v>8</v>
      </c>
      <c r="AU114" s="63">
        <f t="shared" si="26"/>
        <v>8</v>
      </c>
      <c r="AV114" s="63">
        <f t="shared" si="26"/>
        <v>8</v>
      </c>
      <c r="AW114" s="63">
        <f t="shared" si="26"/>
        <v>8</v>
      </c>
      <c r="AX114" s="63">
        <f t="shared" si="26"/>
        <v>8</v>
      </c>
      <c r="AY114" s="63">
        <f t="shared" si="26"/>
        <v>8</v>
      </c>
      <c r="AZ114" s="63">
        <f t="shared" si="26"/>
        <v>8</v>
      </c>
      <c r="BA114" s="63">
        <f t="shared" si="26"/>
        <v>8</v>
      </c>
      <c r="BB114" s="63">
        <f t="shared" si="26"/>
        <v>8</v>
      </c>
      <c r="BC114" s="63">
        <f t="shared" si="26"/>
        <v>8</v>
      </c>
      <c r="BD114" s="63">
        <f t="shared" si="26"/>
        <v>8</v>
      </c>
      <c r="BE114" s="63">
        <f t="shared" si="26"/>
        <v>8</v>
      </c>
      <c r="BF114" s="63">
        <f t="shared" si="26"/>
        <v>8</v>
      </c>
      <c r="BG114" s="63">
        <f t="shared" si="26"/>
        <v>8</v>
      </c>
      <c r="BH114" s="63">
        <f t="shared" si="26"/>
        <v>8</v>
      </c>
      <c r="BI114" s="63">
        <f t="shared" si="26"/>
        <v>8</v>
      </c>
      <c r="BJ114" s="63">
        <f t="shared" si="26"/>
        <v>8</v>
      </c>
      <c r="BK114" s="63">
        <f t="shared" si="26"/>
        <v>8</v>
      </c>
      <c r="BL114" s="63">
        <f t="shared" si="26"/>
        <v>8</v>
      </c>
      <c r="BM114" s="63">
        <f t="shared" si="26"/>
        <v>8</v>
      </c>
      <c r="BN114" s="63">
        <f t="shared" si="26"/>
        <v>8</v>
      </c>
      <c r="BO114" s="63">
        <f aca="true" t="shared" si="27" ref="BO114:CW114">BO$113</f>
        <v>8</v>
      </c>
      <c r="BP114" s="63">
        <f t="shared" si="27"/>
        <v>8</v>
      </c>
      <c r="BQ114" s="63">
        <f t="shared" si="27"/>
        <v>8</v>
      </c>
      <c r="BR114" s="63">
        <f t="shared" si="27"/>
        <v>8</v>
      </c>
      <c r="BS114" s="63">
        <f t="shared" si="27"/>
        <v>8</v>
      </c>
      <c r="BT114" s="63">
        <f t="shared" si="27"/>
        <v>8</v>
      </c>
      <c r="BU114" s="63">
        <f t="shared" si="27"/>
        <v>8</v>
      </c>
      <c r="BV114" s="63">
        <f t="shared" si="27"/>
        <v>8</v>
      </c>
      <c r="BW114" s="63">
        <f t="shared" si="27"/>
        <v>8</v>
      </c>
      <c r="BX114" s="63">
        <f t="shared" si="27"/>
        <v>8</v>
      </c>
      <c r="BY114" s="63">
        <f t="shared" si="27"/>
        <v>8</v>
      </c>
      <c r="BZ114" s="63">
        <f t="shared" si="27"/>
        <v>8</v>
      </c>
      <c r="CA114" s="63">
        <f t="shared" si="27"/>
        <v>8</v>
      </c>
      <c r="CB114" s="63">
        <f t="shared" si="27"/>
        <v>8</v>
      </c>
      <c r="CC114" s="63">
        <f t="shared" si="27"/>
        <v>8</v>
      </c>
      <c r="CD114" s="63">
        <f t="shared" si="27"/>
        <v>8</v>
      </c>
      <c r="CE114" s="63">
        <f t="shared" si="27"/>
        <v>8</v>
      </c>
      <c r="CF114" s="63">
        <f t="shared" si="27"/>
        <v>8</v>
      </c>
      <c r="CG114" s="63">
        <f t="shared" si="27"/>
        <v>8</v>
      </c>
      <c r="CH114" s="63">
        <f t="shared" si="27"/>
        <v>8</v>
      </c>
      <c r="CI114" s="63">
        <f t="shared" si="27"/>
        <v>8</v>
      </c>
      <c r="CJ114" s="63">
        <f t="shared" si="27"/>
        <v>8</v>
      </c>
      <c r="CK114" s="63">
        <f t="shared" si="27"/>
        <v>8</v>
      </c>
      <c r="CL114" s="63">
        <f t="shared" si="27"/>
        <v>8</v>
      </c>
      <c r="CM114" s="63">
        <f t="shared" si="27"/>
        <v>8</v>
      </c>
      <c r="CN114" s="63">
        <f t="shared" si="27"/>
        <v>8</v>
      </c>
      <c r="CO114" s="63">
        <f t="shared" si="27"/>
        <v>8</v>
      </c>
      <c r="CP114" s="63">
        <f t="shared" si="27"/>
        <v>8</v>
      </c>
      <c r="CQ114" s="63">
        <f t="shared" si="27"/>
        <v>8</v>
      </c>
      <c r="CR114" s="63">
        <f t="shared" si="27"/>
        <v>8</v>
      </c>
      <c r="CS114" s="63">
        <f t="shared" si="27"/>
        <v>8</v>
      </c>
      <c r="CT114" s="63">
        <f t="shared" si="27"/>
        <v>8</v>
      </c>
      <c r="CU114" s="63">
        <f t="shared" si="27"/>
        <v>8</v>
      </c>
      <c r="CV114" s="63">
        <f t="shared" si="27"/>
        <v>8</v>
      </c>
      <c r="CW114" s="63">
        <f t="shared" si="27"/>
        <v>8</v>
      </c>
    </row>
    <row r="115" spans="10:11" ht="12.75">
      <c r="J115" s="111"/>
      <c r="K115" s="111"/>
    </row>
    <row r="116" spans="1:11" ht="12.75">
      <c r="A116" s="108" t="s">
        <v>162</v>
      </c>
      <c r="B116" s="64">
        <v>1</v>
      </c>
      <c r="C116" s="64">
        <v>48</v>
      </c>
      <c r="D116" s="135"/>
      <c r="E116" s="135"/>
      <c r="J116" s="111"/>
      <c r="K116" s="111"/>
    </row>
    <row r="117" spans="1:11" ht="12.75">
      <c r="A117" s="85"/>
      <c r="B117" s="64">
        <v>2</v>
      </c>
      <c r="C117" s="64">
        <v>60</v>
      </c>
      <c r="D117" s="85"/>
      <c r="E117" s="111"/>
      <c r="J117" s="111"/>
      <c r="K117" s="111"/>
    </row>
    <row r="118" spans="1:11" ht="12.75">
      <c r="A118" s="85"/>
      <c r="B118" s="64">
        <v>3</v>
      </c>
      <c r="C118" s="64">
        <v>72</v>
      </c>
      <c r="D118" s="85"/>
      <c r="E118" s="111"/>
      <c r="J118" s="111"/>
      <c r="K118" s="111"/>
    </row>
    <row r="119" spans="1:11" ht="12.75">
      <c r="A119" s="85"/>
      <c r="B119" s="85"/>
      <c r="C119" s="85"/>
      <c r="D119" s="85"/>
      <c r="E119" s="111"/>
      <c r="J119" s="111"/>
      <c r="K119" s="111"/>
    </row>
    <row r="120" spans="1:21" ht="12.75">
      <c r="A120" s="85"/>
      <c r="B120" s="64">
        <f aca="true" t="shared" si="28" ref="B120:U120">VLOOKUP(B$17,$B$116:$C$118,2,0)</f>
        <v>48</v>
      </c>
      <c r="C120" s="64">
        <f t="shared" si="28"/>
        <v>48</v>
      </c>
      <c r="D120" s="64">
        <f t="shared" si="28"/>
        <v>48</v>
      </c>
      <c r="E120" s="64">
        <f t="shared" si="28"/>
        <v>48</v>
      </c>
      <c r="F120" s="64">
        <f t="shared" si="28"/>
        <v>48</v>
      </c>
      <c r="G120" s="64">
        <f t="shared" si="28"/>
        <v>48</v>
      </c>
      <c r="H120" s="64">
        <f t="shared" si="28"/>
        <v>48</v>
      </c>
      <c r="I120" s="64">
        <f t="shared" si="28"/>
        <v>48</v>
      </c>
      <c r="J120" s="64">
        <f t="shared" si="28"/>
        <v>48</v>
      </c>
      <c r="K120" s="64">
        <f t="shared" si="28"/>
        <v>48</v>
      </c>
      <c r="L120" s="64">
        <f t="shared" si="28"/>
        <v>48</v>
      </c>
      <c r="M120" s="64">
        <f t="shared" si="28"/>
        <v>48</v>
      </c>
      <c r="N120" s="64">
        <f t="shared" si="28"/>
        <v>48</v>
      </c>
      <c r="O120" s="64">
        <f t="shared" si="28"/>
        <v>48</v>
      </c>
      <c r="P120" s="64">
        <f t="shared" si="28"/>
        <v>48</v>
      </c>
      <c r="Q120" s="64">
        <f t="shared" si="28"/>
        <v>48</v>
      </c>
      <c r="R120" s="64">
        <f t="shared" si="28"/>
        <v>48</v>
      </c>
      <c r="S120" s="64">
        <f t="shared" si="28"/>
        <v>48</v>
      </c>
      <c r="T120" s="64">
        <f t="shared" si="28"/>
        <v>48</v>
      </c>
      <c r="U120" s="64">
        <f t="shared" si="28"/>
        <v>48</v>
      </c>
    </row>
    <row r="121" spans="1:21" ht="12.75">
      <c r="A121" s="85"/>
      <c r="B121" s="64">
        <f>B$120</f>
        <v>48</v>
      </c>
      <c r="C121" s="64">
        <f aca="true" t="shared" si="29" ref="C121:U121">C$120</f>
        <v>48</v>
      </c>
      <c r="D121" s="64">
        <f t="shared" si="29"/>
        <v>48</v>
      </c>
      <c r="E121" s="64">
        <f t="shared" si="29"/>
        <v>48</v>
      </c>
      <c r="F121" s="64">
        <f t="shared" si="29"/>
        <v>48</v>
      </c>
      <c r="G121" s="64">
        <f t="shared" si="29"/>
        <v>48</v>
      </c>
      <c r="H121" s="64">
        <f t="shared" si="29"/>
        <v>48</v>
      </c>
      <c r="I121" s="64">
        <f t="shared" si="29"/>
        <v>48</v>
      </c>
      <c r="J121" s="64">
        <f t="shared" si="29"/>
        <v>48</v>
      </c>
      <c r="K121" s="64">
        <f t="shared" si="29"/>
        <v>48</v>
      </c>
      <c r="L121" s="64">
        <f t="shared" si="29"/>
        <v>48</v>
      </c>
      <c r="M121" s="64">
        <f t="shared" si="29"/>
        <v>48</v>
      </c>
      <c r="N121" s="64">
        <f t="shared" si="29"/>
        <v>48</v>
      </c>
      <c r="O121" s="64">
        <f t="shared" si="29"/>
        <v>48</v>
      </c>
      <c r="P121" s="64">
        <f t="shared" si="29"/>
        <v>48</v>
      </c>
      <c r="Q121" s="64">
        <f t="shared" si="29"/>
        <v>48</v>
      </c>
      <c r="R121" s="64">
        <f t="shared" si="29"/>
        <v>48</v>
      </c>
      <c r="S121" s="64">
        <f t="shared" si="29"/>
        <v>48</v>
      </c>
      <c r="T121" s="64">
        <f t="shared" si="29"/>
        <v>48</v>
      </c>
      <c r="U121" s="64">
        <f t="shared" si="29"/>
        <v>48</v>
      </c>
    </row>
    <row r="122" spans="1:21" ht="12.75">
      <c r="A122" s="85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</row>
    <row r="123" spans="1:21" ht="12.75">
      <c r="A123" s="85" t="s">
        <v>163</v>
      </c>
      <c r="B123" s="64">
        <f>B18*12</f>
        <v>0</v>
      </c>
      <c r="C123" s="64">
        <f aca="true" t="shared" si="30" ref="C123:U123">C18*12</f>
        <v>0</v>
      </c>
      <c r="D123" s="64">
        <f t="shared" si="30"/>
        <v>0</v>
      </c>
      <c r="E123" s="64">
        <f t="shared" si="30"/>
        <v>0</v>
      </c>
      <c r="F123" s="64">
        <f t="shared" si="30"/>
        <v>0</v>
      </c>
      <c r="G123" s="64">
        <f t="shared" si="30"/>
        <v>0</v>
      </c>
      <c r="H123" s="64">
        <f t="shared" si="30"/>
        <v>0</v>
      </c>
      <c r="I123" s="64">
        <f t="shared" si="30"/>
        <v>0</v>
      </c>
      <c r="J123" s="64">
        <f t="shared" si="30"/>
        <v>0</v>
      </c>
      <c r="K123" s="64">
        <f t="shared" si="30"/>
        <v>0</v>
      </c>
      <c r="L123" s="64">
        <f t="shared" si="30"/>
        <v>0</v>
      </c>
      <c r="M123" s="64">
        <f t="shared" si="30"/>
        <v>0</v>
      </c>
      <c r="N123" s="64">
        <f t="shared" si="30"/>
        <v>0</v>
      </c>
      <c r="O123" s="64">
        <f t="shared" si="30"/>
        <v>0</v>
      </c>
      <c r="P123" s="64">
        <f t="shared" si="30"/>
        <v>0</v>
      </c>
      <c r="Q123" s="64">
        <f t="shared" si="30"/>
        <v>0</v>
      </c>
      <c r="R123" s="64">
        <f t="shared" si="30"/>
        <v>0</v>
      </c>
      <c r="S123" s="64">
        <f t="shared" si="30"/>
        <v>0</v>
      </c>
      <c r="T123" s="64">
        <f t="shared" si="30"/>
        <v>0</v>
      </c>
      <c r="U123" s="64">
        <f t="shared" si="30"/>
        <v>0</v>
      </c>
    </row>
    <row r="124" spans="1:21" ht="12.75">
      <c r="A124" s="85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</row>
    <row r="125" spans="1:21" ht="12.75">
      <c r="A125" s="85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</row>
    <row r="126" spans="1:11" ht="12.75">
      <c r="A126" s="85"/>
      <c r="B126" s="85"/>
      <c r="C126" s="85"/>
      <c r="D126" s="85"/>
      <c r="E126" s="111"/>
      <c r="J126" s="111"/>
      <c r="K126" s="111"/>
    </row>
    <row r="127" spans="1:11" ht="12.75">
      <c r="A127" s="88"/>
      <c r="B127" s="85"/>
      <c r="C127" s="85"/>
      <c r="D127" s="136"/>
      <c r="E127" s="111"/>
      <c r="J127" s="111"/>
      <c r="K127" s="111"/>
    </row>
    <row r="128" spans="1:11" ht="12.75">
      <c r="A128" s="109"/>
      <c r="B128" s="137"/>
      <c r="C128" s="137"/>
      <c r="D128" s="136"/>
      <c r="E128" s="111"/>
      <c r="J128" s="111"/>
      <c r="K128" s="111"/>
    </row>
    <row r="129" spans="1:11" ht="12.75">
      <c r="A129" s="109"/>
      <c r="B129" s="137"/>
      <c r="C129" s="137"/>
      <c r="D129" s="137"/>
      <c r="E129" s="111"/>
      <c r="J129" s="111"/>
      <c r="K129" s="111"/>
    </row>
    <row r="130" spans="1:11" ht="12.75">
      <c r="A130" s="109"/>
      <c r="B130" s="137"/>
      <c r="C130" s="137"/>
      <c r="D130" s="136"/>
      <c r="E130" s="111"/>
      <c r="J130" s="111"/>
      <c r="K130" s="111"/>
    </row>
    <row r="131" spans="1:11" ht="12.75">
      <c r="A131" s="110"/>
      <c r="B131" s="110"/>
      <c r="C131" s="110"/>
      <c r="D131" s="136"/>
      <c r="E131" s="111"/>
      <c r="J131" s="111"/>
      <c r="K131" s="111"/>
    </row>
    <row r="132" spans="1:11" ht="12.75">
      <c r="A132" s="110"/>
      <c r="B132" s="137"/>
      <c r="C132" s="110"/>
      <c r="D132" s="136"/>
      <c r="E132" s="111"/>
      <c r="J132" s="111"/>
      <c r="K132" s="111"/>
    </row>
    <row r="133" spans="1:11" ht="12.75">
      <c r="A133" s="110"/>
      <c r="B133" s="110"/>
      <c r="C133" s="110"/>
      <c r="D133" s="136"/>
      <c r="E133" s="111"/>
      <c r="J133" s="111"/>
      <c r="K133" s="111"/>
    </row>
    <row r="134" spans="1:11" ht="12.75">
      <c r="A134" s="110"/>
      <c r="B134" s="110"/>
      <c r="C134" s="110"/>
      <c r="D134" s="136"/>
      <c r="E134" s="111"/>
      <c r="J134" s="111"/>
      <c r="K134" s="111"/>
    </row>
    <row r="135" spans="1:11" ht="12.75">
      <c r="A135" s="110"/>
      <c r="B135" s="110"/>
      <c r="C135" s="110"/>
      <c r="D135" s="136"/>
      <c r="E135" s="111"/>
      <c r="J135" s="111"/>
      <c r="K135" s="111"/>
    </row>
    <row r="136" spans="1:11" ht="12.75">
      <c r="A136" s="110"/>
      <c r="B136" s="110"/>
      <c r="C136" s="110"/>
      <c r="D136" s="136"/>
      <c r="E136" s="111"/>
      <c r="J136" s="111"/>
      <c r="K136" s="111"/>
    </row>
    <row r="137" spans="1:11" ht="12.75">
      <c r="A137" s="110"/>
      <c r="B137" s="110"/>
      <c r="C137" s="110"/>
      <c r="D137" s="136"/>
      <c r="E137" s="111"/>
      <c r="J137" s="111"/>
      <c r="K137" s="111"/>
    </row>
    <row r="138" spans="1:11" ht="12.75">
      <c r="A138" s="110"/>
      <c r="B138" s="110"/>
      <c r="C138" s="110"/>
      <c r="D138" s="136"/>
      <c r="E138" s="111"/>
      <c r="J138" s="111"/>
      <c r="K138" s="111"/>
    </row>
    <row r="139" spans="1:11" ht="12.75">
      <c r="A139" s="110"/>
      <c r="B139" s="110"/>
      <c r="C139" s="110"/>
      <c r="D139" s="136"/>
      <c r="E139" s="111"/>
      <c r="J139" s="111"/>
      <c r="K139" s="111"/>
    </row>
    <row r="140" spans="1:11" ht="12.75">
      <c r="A140" s="110"/>
      <c r="B140" s="110"/>
      <c r="C140" s="110"/>
      <c r="D140" s="136"/>
      <c r="E140" s="111"/>
      <c r="J140" s="111"/>
      <c r="K140" s="111"/>
    </row>
    <row r="141" spans="1:11" ht="12.75">
      <c r="A141" s="111"/>
      <c r="B141" s="132"/>
      <c r="C141" s="111"/>
      <c r="D141" s="111"/>
      <c r="E141" s="111"/>
      <c r="J141" s="111"/>
      <c r="K141" s="111"/>
    </row>
    <row r="142" spans="1:11" ht="12.75">
      <c r="A142" s="111"/>
      <c r="B142" s="110"/>
      <c r="C142" s="111"/>
      <c r="D142" s="111"/>
      <c r="E142" s="111"/>
      <c r="J142" s="111"/>
      <c r="K142" s="111"/>
    </row>
    <row r="143" spans="1:11" ht="12.75">
      <c r="A143" s="111"/>
      <c r="B143" s="110"/>
      <c r="C143" s="111"/>
      <c r="D143" s="111"/>
      <c r="E143" s="111"/>
      <c r="J143" s="111"/>
      <c r="K143" s="111"/>
    </row>
    <row r="144" spans="1:5" ht="12.75">
      <c r="A144" s="111"/>
      <c r="B144" s="110"/>
      <c r="C144" s="111"/>
      <c r="D144" s="111"/>
      <c r="E144" s="111"/>
    </row>
  </sheetData>
  <sheetProtection selectLockedCells="1"/>
  <mergeCells count="5">
    <mergeCell ref="G30:G31"/>
    <mergeCell ref="H30:H31"/>
    <mergeCell ref="C29:D29"/>
    <mergeCell ref="G29:H29"/>
    <mergeCell ref="E29:F29"/>
  </mergeCells>
  <dataValidations count="17">
    <dataValidation errorStyle="warning" type="whole" operator="greaterThan" allowBlank="1" showErrorMessage="1" errorTitle="Error!" error="Allow backfill depth of atleast 3 ft above crown of pipe." sqref="B54:B55">
      <formula1>G99</formula1>
    </dataValidation>
    <dataValidation errorStyle="warning" type="whole" operator="greaterThan" allowBlank="1" showErrorMessage="1" errorTitle="Error!" error="Allow bedding depth of atleast 6 in." sqref="B12:B13">
      <formula1>B96</formula1>
    </dataValidation>
    <dataValidation errorStyle="warning" type="whole" operator="greaterThan" allowBlank="1" showErrorMessage="1" errorTitle="Error!" error="Allow bedding depth of atleast 6 in." sqref="D12:D13">
      <formula1>B96</formula1>
    </dataValidation>
    <dataValidation errorStyle="warning" type="whole" operator="greaterThan" allowBlank="1" showErrorMessage="1" errorTitle="Error!" error="Allow bedding depth of atleast 6 in." sqref="C12:C13">
      <formula1>B96</formula1>
    </dataValidation>
    <dataValidation errorStyle="warning" type="whole" operator="greaterThan" allowBlank="1" showErrorMessage="1" errorTitle="Error!" error="Allow backfill depth of atleast 3 ft above crown of pipe." sqref="B14">
      <formula1>B97</formula1>
    </dataValidation>
    <dataValidation errorStyle="warning" type="whole" operator="greaterThan" allowBlank="1" showErrorMessage="1" errorTitle="Error!" error="Allow backfill depth of atleast 3 ft." sqref="C14">
      <formula1>B97</formula1>
    </dataValidation>
    <dataValidation errorStyle="warning" type="whole" operator="greaterThan" allowBlank="1" showErrorMessage="1" errorTitle="Error!" error="Allow backfill depth of atleast 3 ft." sqref="D14">
      <formula1>B97</formula1>
    </dataValidation>
    <dataValidation type="custom" allowBlank="1" showInputMessage="1" showErrorMessage="1" sqref="B36:CW36">
      <formula1>B15*(0.54*(B4^1.3024))</formula1>
    </dataValidation>
    <dataValidation type="custom" allowBlank="1" showInputMessage="1" showErrorMessage="1" sqref="B37:CW37">
      <formula1>#REF!*(0.54*(B3^1.3024))</formula1>
    </dataValidation>
    <dataValidation type="decimal" operator="greaterThan" allowBlank="1" showInputMessage="1" showErrorMessage="1" errorTitle="Error!" error="Depth of manhole must be greater than trench depth." sqref="B21">
      <formula1>B$10</formula1>
    </dataValidation>
    <dataValidation errorStyle="warning" type="whole" operator="greaterThan" allowBlank="1" showErrorMessage="1" errorTitle="Error!" error="Allow bedding depth of atleast 6 in." sqref="E12:CW13">
      <formula1>H83</formula1>
    </dataValidation>
    <dataValidation errorStyle="warning" type="whole" operator="greaterThan" allowBlank="1" showErrorMessage="1" errorTitle="Error!" error="Allow backfill depth of atleast 3 ft." sqref="E14:CW14">
      <formula1>H84</formula1>
    </dataValidation>
    <dataValidation type="decimal" operator="greaterThanOrEqual" allowBlank="1" showInputMessage="1" showErrorMessage="1" errorTitle="error" sqref="B121">
      <formula1>2</formula1>
    </dataValidation>
    <dataValidation type="decimal" operator="greaterThan" allowBlank="1" showInputMessage="1" showErrorMessage="1" errorTitle="Error!" error="Depth of inlet must be greater than trench depth." sqref="B18:CZ18">
      <formula1>B10</formula1>
    </dataValidation>
    <dataValidation type="decimal" operator="greaterThan" allowBlank="1" showInputMessage="1" showErrorMessage="1" errorTitle="Error!" error="Depth of manhole must be greater than  trench depth." sqref="C21:CZ21">
      <formula1>C$10</formula1>
    </dataValidation>
    <dataValidation errorStyle="warning" type="whole" operator="greaterThan" allowBlank="1" showErrorMessage="1" errorTitle="Error!" error="Allow bedding depth of atleast 6 in." sqref="CX12:CZ13">
      <formula1>#REF!</formula1>
    </dataValidation>
    <dataValidation errorStyle="warning" type="whole" operator="greaterThan" allowBlank="1" showErrorMessage="1" errorTitle="Error!" error="Allow backfill depth of atleast 3 ft." sqref="CX14:CZ14">
      <formula1>#REF!</formula1>
    </dataValidation>
  </dataValidations>
  <printOptions/>
  <pageMargins left="0.75" right="0.75" top="1" bottom="1" header="0.5" footer="0.5"/>
  <pageSetup horizontalDpi="600" verticalDpi="600" orientation="portrait" r:id="rId2"/>
  <ignoredErrors>
    <ignoredError sqref="B33:E33 H33 F33:G33" unlocked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I66"/>
  <sheetViews>
    <sheetView workbookViewId="0" topLeftCell="V35">
      <selection activeCell="A52" sqref="A52"/>
    </sheetView>
  </sheetViews>
  <sheetFormatPr defaultColWidth="9.140625" defaultRowHeight="12.75"/>
  <cols>
    <col min="2" max="2" width="26.00390625" style="0" customWidth="1"/>
    <col min="3" max="3" width="11.28125" style="0" bestFit="1" customWidth="1"/>
    <col min="4" max="4" width="14.00390625" style="0" bestFit="1" customWidth="1"/>
    <col min="5" max="5" width="15.8515625" style="0" bestFit="1" customWidth="1"/>
    <col min="6" max="6" width="11.140625" style="0" bestFit="1" customWidth="1"/>
    <col min="7" max="7" width="11.28125" style="0" bestFit="1" customWidth="1"/>
    <col min="8" max="9" width="14.140625" style="0" bestFit="1" customWidth="1"/>
    <col min="10" max="10" width="10.140625" style="0" bestFit="1" customWidth="1"/>
    <col min="11" max="11" width="11.28125" style="0" bestFit="1" customWidth="1"/>
    <col min="12" max="12" width="10.28125" style="0" bestFit="1" customWidth="1"/>
    <col min="13" max="13" width="15.7109375" style="0" bestFit="1" customWidth="1"/>
    <col min="14" max="14" width="15.8515625" style="0" bestFit="1" customWidth="1"/>
    <col min="15" max="15" width="16.140625" style="0" bestFit="1" customWidth="1"/>
    <col min="16" max="16" width="16.28125" style="0" bestFit="1" customWidth="1"/>
    <col min="17" max="17" width="13.28125" style="0" bestFit="1" customWidth="1"/>
    <col min="18" max="18" width="16.421875" style="0" bestFit="1" customWidth="1"/>
    <col min="19" max="19" width="14.00390625" style="0" bestFit="1" customWidth="1"/>
    <col min="20" max="20" width="17.8515625" style="0" bestFit="1" customWidth="1"/>
    <col min="21" max="21" width="11.7109375" style="0" bestFit="1" customWidth="1"/>
    <col min="22" max="22" width="12.421875" style="0" bestFit="1" customWidth="1"/>
    <col min="23" max="23" width="15.7109375" style="0" bestFit="1" customWidth="1"/>
    <col min="24" max="24" width="20.57421875" style="0" bestFit="1" customWidth="1"/>
    <col min="25" max="25" width="20.140625" style="0" bestFit="1" customWidth="1"/>
    <col min="26" max="26" width="18.57421875" style="0" bestFit="1" customWidth="1"/>
    <col min="30" max="30" width="9.57421875" style="0" bestFit="1" customWidth="1"/>
  </cols>
  <sheetData>
    <row r="1" spans="2:26" ht="12.75">
      <c r="B1" s="4" t="s">
        <v>14</v>
      </c>
      <c r="C1" s="221" t="s">
        <v>35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3"/>
      <c r="W1" s="17" t="s">
        <v>41</v>
      </c>
      <c r="X1" s="17" t="s">
        <v>42</v>
      </c>
      <c r="Y1" s="17" t="s">
        <v>44</v>
      </c>
      <c r="Z1" s="21" t="s">
        <v>39</v>
      </c>
    </row>
    <row r="2" spans="1:26" ht="12.75">
      <c r="A2">
        <v>1</v>
      </c>
      <c r="B2" s="10"/>
      <c r="C2" s="4" t="s">
        <v>15</v>
      </c>
      <c r="D2" s="4" t="s">
        <v>16</v>
      </c>
      <c r="E2" s="4" t="s">
        <v>17</v>
      </c>
      <c r="F2" s="4" t="s">
        <v>18</v>
      </c>
      <c r="G2" s="4" t="s">
        <v>19</v>
      </c>
      <c r="H2" s="4" t="s">
        <v>20</v>
      </c>
      <c r="I2" s="4" t="s">
        <v>21</v>
      </c>
      <c r="J2" s="4" t="s">
        <v>22</v>
      </c>
      <c r="K2" s="4" t="s">
        <v>23</v>
      </c>
      <c r="L2" s="4" t="s">
        <v>24</v>
      </c>
      <c r="M2" s="4" t="s">
        <v>25</v>
      </c>
      <c r="N2" s="4" t="s">
        <v>26</v>
      </c>
      <c r="O2" s="4" t="s">
        <v>27</v>
      </c>
      <c r="P2" s="4" t="s">
        <v>28</v>
      </c>
      <c r="Q2" s="4" t="s">
        <v>29</v>
      </c>
      <c r="R2" s="4" t="s">
        <v>30</v>
      </c>
      <c r="S2" s="4" t="s">
        <v>31</v>
      </c>
      <c r="T2" s="4" t="s">
        <v>32</v>
      </c>
      <c r="U2" s="4" t="s">
        <v>33</v>
      </c>
      <c r="V2" s="16" t="s">
        <v>34</v>
      </c>
      <c r="W2" s="18" t="s">
        <v>40</v>
      </c>
      <c r="X2" s="19" t="s">
        <v>43</v>
      </c>
      <c r="Y2" s="19" t="s">
        <v>40</v>
      </c>
      <c r="Z2" s="22" t="s">
        <v>40</v>
      </c>
    </row>
    <row r="3" spans="1:26" ht="12.75">
      <c r="A3">
        <v>2</v>
      </c>
      <c r="B3" s="5">
        <v>1978</v>
      </c>
      <c r="C3" s="175">
        <v>2172.6</v>
      </c>
      <c r="D3" s="175">
        <v>2396.39</v>
      </c>
      <c r="E3" s="175">
        <v>2283.3</v>
      </c>
      <c r="F3" s="175">
        <v>2772.83</v>
      </c>
      <c r="G3" s="175">
        <v>2981.85</v>
      </c>
      <c r="H3" s="176">
        <v>3088.21</v>
      </c>
      <c r="I3" s="177">
        <v>3267.97</v>
      </c>
      <c r="J3" s="177">
        <v>2082.95</v>
      </c>
      <c r="K3" s="177">
        <v>2564.77</v>
      </c>
      <c r="L3" s="177">
        <v>3223.97</v>
      </c>
      <c r="M3" s="177">
        <v>3039.64</v>
      </c>
      <c r="N3" s="177">
        <v>3421.25</v>
      </c>
      <c r="O3" s="177">
        <v>2902.6</v>
      </c>
      <c r="P3" s="178">
        <v>2346.65</v>
      </c>
      <c r="Q3" s="179">
        <v>3325.43</v>
      </c>
      <c r="R3" s="176">
        <v>2839.24</v>
      </c>
      <c r="S3" s="177">
        <v>2945.44</v>
      </c>
      <c r="T3" s="177">
        <v>3412.2</v>
      </c>
      <c r="U3" s="177">
        <v>3197</v>
      </c>
      <c r="V3" s="178">
        <v>3105.71</v>
      </c>
      <c r="W3" s="180">
        <v>2776</v>
      </c>
      <c r="X3" s="15" t="s">
        <v>37</v>
      </c>
      <c r="Y3" s="15" t="s">
        <v>37</v>
      </c>
      <c r="Z3" s="15">
        <v>1654</v>
      </c>
    </row>
    <row r="4" spans="1:26" ht="12.75">
      <c r="A4">
        <v>3</v>
      </c>
      <c r="B4" s="15">
        <v>1979</v>
      </c>
      <c r="C4" s="176">
        <v>2358.43</v>
      </c>
      <c r="D4" s="177">
        <v>2719.34</v>
      </c>
      <c r="E4" s="177">
        <v>2431.67</v>
      </c>
      <c r="F4" s="177">
        <v>3096.16</v>
      </c>
      <c r="G4" s="177">
        <v>3266.78</v>
      </c>
      <c r="H4" s="181">
        <v>3349.05</v>
      </c>
      <c r="I4" s="181">
        <v>3565.5</v>
      </c>
      <c r="J4" s="181">
        <v>2427.24</v>
      </c>
      <c r="K4" s="181">
        <v>2739.14</v>
      </c>
      <c r="L4" s="181">
        <v>3492.04</v>
      </c>
      <c r="M4" s="181">
        <v>3256.47</v>
      </c>
      <c r="N4" s="181">
        <v>3638.81</v>
      </c>
      <c r="O4" s="181">
        <v>3154.37</v>
      </c>
      <c r="P4" s="182">
        <v>2693.75</v>
      </c>
      <c r="Q4" s="175">
        <v>3580.5</v>
      </c>
      <c r="R4" s="183">
        <v>3183.93</v>
      </c>
      <c r="S4" s="181">
        <v>3180.57</v>
      </c>
      <c r="T4" s="181">
        <v>3806.14</v>
      </c>
      <c r="U4" s="181">
        <v>3497.64</v>
      </c>
      <c r="V4" s="182">
        <v>3344.2</v>
      </c>
      <c r="W4" s="184">
        <v>3003</v>
      </c>
      <c r="X4" s="15" t="s">
        <v>37</v>
      </c>
      <c r="Y4" s="15" t="s">
        <v>37</v>
      </c>
      <c r="Z4" s="15">
        <v>1919</v>
      </c>
    </row>
    <row r="5" spans="1:26" ht="12.75">
      <c r="A5">
        <v>4</v>
      </c>
      <c r="B5" s="15">
        <v>1980</v>
      </c>
      <c r="C5" s="183">
        <v>2535.72</v>
      </c>
      <c r="D5" s="181">
        <v>2904.39</v>
      </c>
      <c r="E5" s="181">
        <v>2558.45</v>
      </c>
      <c r="F5" s="181">
        <v>3173.98</v>
      </c>
      <c r="G5" s="181">
        <v>3497.25</v>
      </c>
      <c r="H5" s="181">
        <v>3609.93</v>
      </c>
      <c r="I5" s="181">
        <v>3860.76</v>
      </c>
      <c r="J5" s="181">
        <v>2683.34</v>
      </c>
      <c r="K5" s="181">
        <v>2947.14</v>
      </c>
      <c r="L5" s="181">
        <v>3798.23</v>
      </c>
      <c r="M5" s="181">
        <v>3551.83</v>
      </c>
      <c r="N5" s="181">
        <v>4102.37</v>
      </c>
      <c r="O5" s="181">
        <v>3238.86</v>
      </c>
      <c r="P5" s="182">
        <v>2792.99</v>
      </c>
      <c r="Q5" s="175">
        <v>3774.64</v>
      </c>
      <c r="R5" s="183">
        <v>3233.59</v>
      </c>
      <c r="S5" s="181">
        <v>3383.37</v>
      </c>
      <c r="T5" s="181">
        <v>4371.96</v>
      </c>
      <c r="U5" s="181">
        <v>3909.16</v>
      </c>
      <c r="V5" s="182">
        <v>3578.4</v>
      </c>
      <c r="W5" s="184">
        <v>3237</v>
      </c>
      <c r="X5" s="15" t="s">
        <v>37</v>
      </c>
      <c r="Y5" s="15" t="s">
        <v>37</v>
      </c>
      <c r="Z5" s="15">
        <v>1941</v>
      </c>
    </row>
    <row r="6" spans="1:26" ht="12.75">
      <c r="A6">
        <v>5</v>
      </c>
      <c r="B6" s="15">
        <v>1981</v>
      </c>
      <c r="C6" s="183">
        <v>2801.31</v>
      </c>
      <c r="D6" s="181">
        <v>3060.78</v>
      </c>
      <c r="E6" s="181">
        <v>2768.12</v>
      </c>
      <c r="F6" s="181">
        <v>3659.88</v>
      </c>
      <c r="G6" s="181">
        <v>3749.45</v>
      </c>
      <c r="H6" s="181">
        <v>4045.44</v>
      </c>
      <c r="I6" s="181">
        <v>4379.04</v>
      </c>
      <c r="J6" s="181">
        <v>2975.25</v>
      </c>
      <c r="K6" s="181">
        <v>3200.57</v>
      </c>
      <c r="L6" s="181">
        <v>4138.17</v>
      </c>
      <c r="M6" s="181">
        <v>3838.22</v>
      </c>
      <c r="N6" s="181">
        <v>4530.96</v>
      </c>
      <c r="O6" s="181">
        <v>3612.6</v>
      </c>
      <c r="P6" s="182">
        <v>3087.99</v>
      </c>
      <c r="Q6" s="175">
        <v>4125.68</v>
      </c>
      <c r="R6" s="183">
        <v>3603.48</v>
      </c>
      <c r="S6" s="181">
        <v>3653.46</v>
      </c>
      <c r="T6" s="181">
        <v>4592.45</v>
      </c>
      <c r="U6" s="181">
        <v>4230.36</v>
      </c>
      <c r="V6" s="182">
        <v>3834.64</v>
      </c>
      <c r="W6" s="184">
        <v>3535</v>
      </c>
      <c r="X6" s="15" t="s">
        <v>37</v>
      </c>
      <c r="Y6" s="15" t="s">
        <v>37</v>
      </c>
      <c r="Z6" s="15">
        <v>2097</v>
      </c>
    </row>
    <row r="7" spans="1:26" ht="12.75">
      <c r="A7">
        <v>6</v>
      </c>
      <c r="B7" s="15">
        <v>1982</v>
      </c>
      <c r="C7" s="183">
        <v>3034.47</v>
      </c>
      <c r="D7" s="181">
        <v>3097.4</v>
      </c>
      <c r="E7" s="181">
        <v>2853.6</v>
      </c>
      <c r="F7" s="181">
        <v>3993.72</v>
      </c>
      <c r="G7" s="181">
        <v>4106.45</v>
      </c>
      <c r="H7" s="181">
        <v>4234.64</v>
      </c>
      <c r="I7" s="181">
        <v>4669.64</v>
      </c>
      <c r="J7" s="181">
        <v>3192.54</v>
      </c>
      <c r="K7" s="181">
        <v>3445.7</v>
      </c>
      <c r="L7" s="181">
        <v>4244.91</v>
      </c>
      <c r="M7" s="181">
        <v>4069.74</v>
      </c>
      <c r="N7" s="181">
        <v>4934.14</v>
      </c>
      <c r="O7" s="181">
        <v>3924.98</v>
      </c>
      <c r="P7" s="182">
        <v>3294.66</v>
      </c>
      <c r="Q7" s="175">
        <v>4553.93</v>
      </c>
      <c r="R7" s="183">
        <v>3858.5</v>
      </c>
      <c r="S7" s="181">
        <v>3894.97</v>
      </c>
      <c r="T7" s="181">
        <v>4993.3</v>
      </c>
      <c r="U7" s="181">
        <v>4490.38</v>
      </c>
      <c r="V7" s="182">
        <v>4107.49</v>
      </c>
      <c r="W7" s="184">
        <v>3825</v>
      </c>
      <c r="X7" s="15" t="s">
        <v>37</v>
      </c>
      <c r="Y7" s="15" t="s">
        <v>37</v>
      </c>
      <c r="Z7" s="15">
        <v>2234</v>
      </c>
    </row>
    <row r="8" spans="1:26" ht="12.75">
      <c r="A8">
        <v>7</v>
      </c>
      <c r="B8" s="15">
        <v>1983</v>
      </c>
      <c r="C8" s="183">
        <v>2909</v>
      </c>
      <c r="D8" s="181">
        <v>3107.35</v>
      </c>
      <c r="E8" s="181">
        <v>2983.6</v>
      </c>
      <c r="F8" s="181">
        <v>4204.75</v>
      </c>
      <c r="G8" s="181">
        <v>4235.73</v>
      </c>
      <c r="H8" s="181">
        <v>4398.6</v>
      </c>
      <c r="I8" s="181">
        <v>4847.04</v>
      </c>
      <c r="J8" s="181">
        <v>3263.61</v>
      </c>
      <c r="K8" s="181">
        <v>3690.22</v>
      </c>
      <c r="L8" s="181">
        <v>4375.55</v>
      </c>
      <c r="M8" s="181">
        <v>4199.38</v>
      </c>
      <c r="N8" s="181">
        <v>5063.89</v>
      </c>
      <c r="O8" s="181">
        <v>4322.45</v>
      </c>
      <c r="P8" s="182">
        <v>3444.58</v>
      </c>
      <c r="Q8" s="175">
        <v>4887.55</v>
      </c>
      <c r="R8" s="183">
        <v>4175.74</v>
      </c>
      <c r="S8" s="181">
        <v>4077.51</v>
      </c>
      <c r="T8" s="181">
        <v>5122.74</v>
      </c>
      <c r="U8" s="181">
        <v>4559.55</v>
      </c>
      <c r="V8" s="182">
        <v>4325.69</v>
      </c>
      <c r="W8" s="184">
        <v>4066</v>
      </c>
      <c r="X8" s="20">
        <v>1650.75</v>
      </c>
      <c r="Y8" s="15" t="s">
        <v>37</v>
      </c>
      <c r="Z8" s="15">
        <v>2384</v>
      </c>
    </row>
    <row r="9" spans="1:26" ht="12.75">
      <c r="A9">
        <v>8</v>
      </c>
      <c r="B9" s="15">
        <v>1984</v>
      </c>
      <c r="C9" s="183">
        <v>2898.53</v>
      </c>
      <c r="D9" s="181">
        <v>3158.77</v>
      </c>
      <c r="E9" s="181">
        <v>3074.83</v>
      </c>
      <c r="F9" s="181">
        <v>4497.4</v>
      </c>
      <c r="G9" s="181">
        <v>4319.75</v>
      </c>
      <c r="H9" s="181">
        <v>4437.58</v>
      </c>
      <c r="I9" s="181">
        <v>5073.08</v>
      </c>
      <c r="J9" s="181">
        <v>2950.4</v>
      </c>
      <c r="K9" s="181" t="s">
        <v>36</v>
      </c>
      <c r="L9" s="181">
        <v>4331.1</v>
      </c>
      <c r="M9" s="181">
        <v>4200.58</v>
      </c>
      <c r="N9" s="181">
        <v>5259.93</v>
      </c>
      <c r="O9" s="181">
        <v>4209.93</v>
      </c>
      <c r="P9" s="182">
        <v>3427.64</v>
      </c>
      <c r="Q9" s="175">
        <v>5160.95</v>
      </c>
      <c r="R9" s="183">
        <v>4437.81</v>
      </c>
      <c r="S9" s="181">
        <v>4234.49</v>
      </c>
      <c r="T9" s="181">
        <v>5049.13</v>
      </c>
      <c r="U9" s="181">
        <v>4546.01</v>
      </c>
      <c r="V9" s="182">
        <v>4511.37</v>
      </c>
      <c r="W9" s="184">
        <v>4146</v>
      </c>
      <c r="X9" s="20">
        <v>1620.8333333333333</v>
      </c>
      <c r="Y9" s="15" t="s">
        <v>37</v>
      </c>
      <c r="Z9" s="15">
        <v>2417</v>
      </c>
    </row>
    <row r="10" spans="1:26" ht="12.75">
      <c r="A10">
        <v>9</v>
      </c>
      <c r="B10" s="15">
        <v>1985</v>
      </c>
      <c r="C10" s="183">
        <v>2909.71</v>
      </c>
      <c r="D10" s="181">
        <v>3236.9</v>
      </c>
      <c r="E10" s="181">
        <v>3037.76</v>
      </c>
      <c r="F10" s="181">
        <v>4685.85</v>
      </c>
      <c r="G10" s="181">
        <v>4367.28</v>
      </c>
      <c r="H10" s="181">
        <v>4548.2</v>
      </c>
      <c r="I10" s="181">
        <v>4992.32</v>
      </c>
      <c r="J10" s="181">
        <v>2997.36</v>
      </c>
      <c r="K10" s="181">
        <v>3316.24</v>
      </c>
      <c r="L10" s="181">
        <v>4468.09</v>
      </c>
      <c r="M10" s="181">
        <v>4337.4</v>
      </c>
      <c r="N10" s="181">
        <v>5446.69</v>
      </c>
      <c r="O10" s="181">
        <v>4303.33</v>
      </c>
      <c r="P10" s="182">
        <v>3411.86</v>
      </c>
      <c r="Q10" s="175">
        <v>5388.08</v>
      </c>
      <c r="R10" s="183">
        <v>4549.62</v>
      </c>
      <c r="S10" s="181">
        <v>4208.63</v>
      </c>
      <c r="T10" s="181">
        <v>5055.04</v>
      </c>
      <c r="U10" s="181">
        <v>4563.1</v>
      </c>
      <c r="V10" s="182">
        <v>4733.37</v>
      </c>
      <c r="W10" s="184">
        <v>4195</v>
      </c>
      <c r="X10" s="20">
        <v>1617.0833333333333</v>
      </c>
      <c r="Y10" s="15" t="s">
        <v>37</v>
      </c>
      <c r="Z10" s="15">
        <v>2428</v>
      </c>
    </row>
    <row r="11" spans="1:26" ht="12.75">
      <c r="A11">
        <v>10</v>
      </c>
      <c r="B11" s="15">
        <v>1986</v>
      </c>
      <c r="C11" s="183">
        <v>3018.67</v>
      </c>
      <c r="D11" s="181">
        <v>3372.26</v>
      </c>
      <c r="E11" s="181">
        <v>3083.92</v>
      </c>
      <c r="F11" s="181">
        <v>4722.66</v>
      </c>
      <c r="G11" s="181">
        <v>4495.88</v>
      </c>
      <c r="H11" s="181">
        <v>4567.24</v>
      </c>
      <c r="I11" s="181">
        <v>5061.56</v>
      </c>
      <c r="J11" s="181">
        <v>3152.84</v>
      </c>
      <c r="K11" s="181">
        <v>3503.37</v>
      </c>
      <c r="L11" s="181">
        <v>4674.95</v>
      </c>
      <c r="M11" s="181">
        <v>4485.48</v>
      </c>
      <c r="N11" s="181">
        <v>5452.2</v>
      </c>
      <c r="O11" s="181">
        <v>4406.75</v>
      </c>
      <c r="P11" s="182">
        <v>3513.96</v>
      </c>
      <c r="Q11" s="175">
        <v>5621.15</v>
      </c>
      <c r="R11" s="183">
        <v>4678.78</v>
      </c>
      <c r="S11" s="181">
        <v>4280.39</v>
      </c>
      <c r="T11" s="181">
        <v>5508.43</v>
      </c>
      <c r="U11" s="181">
        <v>4585.4</v>
      </c>
      <c r="V11" s="182">
        <v>4827.92</v>
      </c>
      <c r="W11" s="184">
        <v>4295</v>
      </c>
      <c r="X11" s="20">
        <v>1634.1666666666667</v>
      </c>
      <c r="Y11" s="15" t="s">
        <v>37</v>
      </c>
      <c r="Z11" s="15">
        <v>2483</v>
      </c>
    </row>
    <row r="12" spans="1:26" ht="12.75">
      <c r="A12">
        <v>11</v>
      </c>
      <c r="B12" s="15">
        <v>1987</v>
      </c>
      <c r="C12" s="183">
        <v>3094.92</v>
      </c>
      <c r="D12" s="181">
        <v>3560.91</v>
      </c>
      <c r="E12" s="181">
        <v>3251.65</v>
      </c>
      <c r="F12" s="181">
        <v>4941.39</v>
      </c>
      <c r="G12" s="181">
        <v>4686.53</v>
      </c>
      <c r="H12" s="181">
        <v>4647.13</v>
      </c>
      <c r="I12" s="181">
        <v>5251.44</v>
      </c>
      <c r="J12" s="181">
        <v>2985.85</v>
      </c>
      <c r="K12" s="181">
        <v>3506.95</v>
      </c>
      <c r="L12" s="181">
        <v>4859.89</v>
      </c>
      <c r="M12" s="181">
        <v>4599.98</v>
      </c>
      <c r="N12" s="181">
        <v>5474.14</v>
      </c>
      <c r="O12" s="181">
        <v>4494.16</v>
      </c>
      <c r="P12" s="182">
        <v>3572.49</v>
      </c>
      <c r="Q12" s="175">
        <v>5961.27</v>
      </c>
      <c r="R12" s="183">
        <v>4883.56</v>
      </c>
      <c r="S12" s="181">
        <v>4311.93</v>
      </c>
      <c r="T12" s="181">
        <v>5732.37</v>
      </c>
      <c r="U12" s="181">
        <v>4684.28</v>
      </c>
      <c r="V12" s="182">
        <v>5056.78</v>
      </c>
      <c r="W12" s="184">
        <v>4406</v>
      </c>
      <c r="X12" s="20">
        <v>1659</v>
      </c>
      <c r="Y12" s="15" t="s">
        <v>37</v>
      </c>
      <c r="Z12" s="15">
        <v>2541</v>
      </c>
    </row>
    <row r="13" spans="1:26" ht="12.75">
      <c r="A13">
        <v>12</v>
      </c>
      <c r="B13" s="15">
        <v>1988</v>
      </c>
      <c r="C13" s="183">
        <v>3107.63</v>
      </c>
      <c r="D13" s="181">
        <v>3576.83</v>
      </c>
      <c r="E13" s="181">
        <v>3331.21</v>
      </c>
      <c r="F13" s="181">
        <v>5137.58</v>
      </c>
      <c r="G13" s="181">
        <v>4844.48</v>
      </c>
      <c r="H13" s="181">
        <v>4700.51</v>
      </c>
      <c r="I13" s="181">
        <v>5237.37</v>
      </c>
      <c r="J13" s="181">
        <v>3184.72</v>
      </c>
      <c r="K13" s="181">
        <v>3538.26</v>
      </c>
      <c r="L13" s="181">
        <v>5092.67</v>
      </c>
      <c r="M13" s="181">
        <v>4667.26</v>
      </c>
      <c r="N13" s="181">
        <v>5770.84</v>
      </c>
      <c r="O13" s="181">
        <v>4582.99</v>
      </c>
      <c r="P13" s="182">
        <v>3571.19</v>
      </c>
      <c r="Q13" s="175">
        <v>6231.12</v>
      </c>
      <c r="R13" s="183">
        <v>5064.2</v>
      </c>
      <c r="S13" s="181">
        <v>4331.7</v>
      </c>
      <c r="T13" s="181">
        <v>5734.48</v>
      </c>
      <c r="U13" s="181">
        <v>4738.35</v>
      </c>
      <c r="V13" s="182">
        <v>5061.56</v>
      </c>
      <c r="W13" s="184">
        <v>4519</v>
      </c>
      <c r="X13" s="20">
        <v>1694</v>
      </c>
      <c r="Y13" s="15" t="s">
        <v>37</v>
      </c>
      <c r="Z13" s="15">
        <v>2598</v>
      </c>
    </row>
    <row r="14" spans="1:26" ht="12.75">
      <c r="A14">
        <v>13</v>
      </c>
      <c r="B14" s="15">
        <v>1989</v>
      </c>
      <c r="C14" s="183">
        <v>3141.55</v>
      </c>
      <c r="D14" s="181">
        <v>3707.18</v>
      </c>
      <c r="E14" s="181">
        <v>3413.76</v>
      </c>
      <c r="F14" s="181">
        <v>5373.14</v>
      </c>
      <c r="G14" s="181">
        <v>4957.69</v>
      </c>
      <c r="H14" s="181">
        <v>4877.51</v>
      </c>
      <c r="I14" s="181">
        <v>5161.68</v>
      </c>
      <c r="J14" s="181">
        <v>3208.39</v>
      </c>
      <c r="K14" s="181">
        <v>3641.78</v>
      </c>
      <c r="L14" s="181">
        <v>5171.88</v>
      </c>
      <c r="M14" s="181">
        <v>4719.9</v>
      </c>
      <c r="N14" s="181">
        <v>5789.77</v>
      </c>
      <c r="O14" s="181">
        <v>4804.75</v>
      </c>
      <c r="P14" s="182">
        <v>3590.13</v>
      </c>
      <c r="Q14" s="175">
        <v>6453.56</v>
      </c>
      <c r="R14" s="183">
        <v>5299.78</v>
      </c>
      <c r="S14" s="181">
        <v>4425.57</v>
      </c>
      <c r="T14" s="181">
        <v>5932.57</v>
      </c>
      <c r="U14" s="181">
        <v>4898.01</v>
      </c>
      <c r="V14" s="182">
        <v>5132.97</v>
      </c>
      <c r="W14" s="184">
        <v>4615</v>
      </c>
      <c r="X14" s="20">
        <v>1693.3333333333333</v>
      </c>
      <c r="Y14" s="15" t="s">
        <v>37</v>
      </c>
      <c r="Z14" s="15">
        <v>2634</v>
      </c>
    </row>
    <row r="15" spans="1:26" ht="12.75">
      <c r="A15">
        <v>14</v>
      </c>
      <c r="B15" s="15">
        <v>1990</v>
      </c>
      <c r="C15" s="183">
        <v>3191.55</v>
      </c>
      <c r="D15" s="181">
        <v>3884.43</v>
      </c>
      <c r="E15" s="181">
        <v>3426.41</v>
      </c>
      <c r="F15" s="181">
        <v>5614.79</v>
      </c>
      <c r="G15" s="181">
        <v>4998.8</v>
      </c>
      <c r="H15" s="181">
        <v>4933.91</v>
      </c>
      <c r="I15" s="181">
        <v>5368.82</v>
      </c>
      <c r="J15" s="181">
        <v>3195.21</v>
      </c>
      <c r="K15" s="181">
        <v>3668.2</v>
      </c>
      <c r="L15" s="181">
        <v>5153.9</v>
      </c>
      <c r="M15" s="181">
        <v>4763.94</v>
      </c>
      <c r="N15" s="181">
        <v>5994.55</v>
      </c>
      <c r="O15" s="181">
        <v>4798.61</v>
      </c>
      <c r="P15" s="182">
        <v>3602.41</v>
      </c>
      <c r="Q15" s="175">
        <v>6846.49</v>
      </c>
      <c r="R15" s="183">
        <v>5431.26</v>
      </c>
      <c r="S15" s="181">
        <v>4580.56</v>
      </c>
      <c r="T15" s="181">
        <v>6055.61</v>
      </c>
      <c r="U15" s="181">
        <v>4933.39</v>
      </c>
      <c r="V15" s="182">
        <v>5090.94</v>
      </c>
      <c r="W15" s="184">
        <v>4732</v>
      </c>
      <c r="X15" s="20">
        <v>1720.1666666666667</v>
      </c>
      <c r="Y15" s="20">
        <v>9645.75</v>
      </c>
      <c r="Z15" s="15">
        <v>2702</v>
      </c>
    </row>
    <row r="16" spans="1:26" ht="12.75">
      <c r="A16">
        <v>15</v>
      </c>
      <c r="B16" s="15">
        <v>1991</v>
      </c>
      <c r="C16" s="183">
        <v>3224.67</v>
      </c>
      <c r="D16" s="181">
        <v>3858.19</v>
      </c>
      <c r="E16" s="181">
        <v>3466.21</v>
      </c>
      <c r="F16" s="181">
        <v>5722.5</v>
      </c>
      <c r="G16" s="181">
        <v>5384.16</v>
      </c>
      <c r="H16" s="181">
        <v>5011.1</v>
      </c>
      <c r="I16" s="181">
        <v>5450.25</v>
      </c>
      <c r="J16" s="181">
        <v>3336.53</v>
      </c>
      <c r="K16" s="181">
        <v>3715.34</v>
      </c>
      <c r="L16" s="181">
        <v>5244.65</v>
      </c>
      <c r="M16" s="181">
        <v>4762.18</v>
      </c>
      <c r="N16" s="181">
        <v>6090.12</v>
      </c>
      <c r="O16" s="181">
        <v>4932.67</v>
      </c>
      <c r="P16" s="182">
        <v>3638.65</v>
      </c>
      <c r="Q16" s="175">
        <v>7110.37</v>
      </c>
      <c r="R16" s="183">
        <v>5616.96</v>
      </c>
      <c r="S16" s="181">
        <v>4696.93</v>
      </c>
      <c r="T16" s="181">
        <v>6222.06</v>
      </c>
      <c r="U16" s="181">
        <v>5120.63</v>
      </c>
      <c r="V16" s="182">
        <v>5172.41</v>
      </c>
      <c r="W16" s="184">
        <v>4835</v>
      </c>
      <c r="X16" s="20">
        <v>1708.8333333333333</v>
      </c>
      <c r="Y16" s="20">
        <v>9935.166666666666</v>
      </c>
      <c r="Z16" s="15">
        <v>2751</v>
      </c>
    </row>
    <row r="17" spans="1:26" ht="12.75">
      <c r="A17">
        <v>16</v>
      </c>
      <c r="B17" s="15">
        <v>1992</v>
      </c>
      <c r="C17" s="183">
        <v>3348.42</v>
      </c>
      <c r="D17" s="181">
        <v>3997.47</v>
      </c>
      <c r="E17" s="181">
        <v>3665.33</v>
      </c>
      <c r="F17" s="181">
        <v>5973.33</v>
      </c>
      <c r="G17" s="181">
        <v>5643.78</v>
      </c>
      <c r="H17" s="181">
        <v>5209.18</v>
      </c>
      <c r="I17" s="181">
        <v>5501.09</v>
      </c>
      <c r="J17" s="181">
        <v>3476.69</v>
      </c>
      <c r="K17" s="181">
        <v>3833.64</v>
      </c>
      <c r="L17" s="181">
        <v>5395.34</v>
      </c>
      <c r="M17" s="181">
        <v>4955.79</v>
      </c>
      <c r="N17" s="181">
        <v>6348.55</v>
      </c>
      <c r="O17" s="181">
        <v>5133.25</v>
      </c>
      <c r="P17" s="182">
        <v>3730.37</v>
      </c>
      <c r="Q17" s="175">
        <v>7367.49</v>
      </c>
      <c r="R17" s="183">
        <v>5682.35</v>
      </c>
      <c r="S17" s="181">
        <v>4988.38</v>
      </c>
      <c r="T17" s="181">
        <v>6294.84</v>
      </c>
      <c r="U17" s="181">
        <v>5320.37</v>
      </c>
      <c r="V17" s="182">
        <v>5315.67</v>
      </c>
      <c r="W17" s="184">
        <v>4985</v>
      </c>
      <c r="X17" s="20">
        <v>1760.9166666666667</v>
      </c>
      <c r="Y17" s="20">
        <v>10243.416666666666</v>
      </c>
      <c r="Z17" s="15">
        <v>2834</v>
      </c>
    </row>
    <row r="18" spans="1:26" ht="12.75">
      <c r="A18">
        <v>17</v>
      </c>
      <c r="B18" s="15">
        <v>1993</v>
      </c>
      <c r="C18" s="183">
        <v>3389.89</v>
      </c>
      <c r="D18" s="181">
        <v>4171.75</v>
      </c>
      <c r="E18" s="181">
        <v>3919.97</v>
      </c>
      <c r="F18" s="181">
        <v>6380.25</v>
      </c>
      <c r="G18" s="181">
        <v>5962.58</v>
      </c>
      <c r="H18" s="181">
        <v>5344.53</v>
      </c>
      <c r="I18" s="181">
        <v>5752.29</v>
      </c>
      <c r="J18" s="181">
        <v>3570.97</v>
      </c>
      <c r="K18" s="181">
        <v>4012.02</v>
      </c>
      <c r="L18" s="181">
        <v>5917.92</v>
      </c>
      <c r="M18" s="181">
        <v>5224.43</v>
      </c>
      <c r="N18" s="181">
        <v>6477.84</v>
      </c>
      <c r="O18" s="181">
        <v>5395.05</v>
      </c>
      <c r="P18" s="182">
        <v>3764.21</v>
      </c>
      <c r="Q18" s="175">
        <v>7737.11</v>
      </c>
      <c r="R18" s="183">
        <v>6022.23</v>
      </c>
      <c r="S18" s="181">
        <v>5287.87</v>
      </c>
      <c r="T18" s="181">
        <v>6477.95</v>
      </c>
      <c r="U18" s="181">
        <v>5630.25</v>
      </c>
      <c r="V18" s="182">
        <v>5765.31</v>
      </c>
      <c r="W18" s="184">
        <v>5210</v>
      </c>
      <c r="X18" s="20">
        <v>1953.1666666666667</v>
      </c>
      <c r="Y18" s="20">
        <v>10524.75</v>
      </c>
      <c r="Z18" s="15">
        <v>2996</v>
      </c>
    </row>
    <row r="19" spans="1:26" ht="12.75">
      <c r="A19">
        <v>18</v>
      </c>
      <c r="B19" s="15">
        <v>1994</v>
      </c>
      <c r="C19" s="183">
        <v>3430.97</v>
      </c>
      <c r="D19" s="181">
        <v>4198.95</v>
      </c>
      <c r="E19" s="181">
        <v>3940.28</v>
      </c>
      <c r="F19" s="181">
        <v>6404.34</v>
      </c>
      <c r="G19" s="181">
        <v>6177.81</v>
      </c>
      <c r="H19" s="181">
        <v>5504.43</v>
      </c>
      <c r="I19" s="181">
        <v>5922.53</v>
      </c>
      <c r="J19" s="181">
        <v>3640.03</v>
      </c>
      <c r="K19" s="181">
        <v>4008.74</v>
      </c>
      <c r="L19" s="181">
        <v>5979.62</v>
      </c>
      <c r="M19" s="181">
        <v>5304.63</v>
      </c>
      <c r="N19" s="181">
        <v>6532.95</v>
      </c>
      <c r="O19" s="181">
        <v>5776.85</v>
      </c>
      <c r="P19" s="182">
        <v>3831.08</v>
      </c>
      <c r="Q19" s="175">
        <v>8117.64</v>
      </c>
      <c r="R19" s="183">
        <v>6224.86</v>
      </c>
      <c r="S19" s="181">
        <v>5485.79</v>
      </c>
      <c r="T19" s="181">
        <v>6530.35</v>
      </c>
      <c r="U19" s="181">
        <v>5818.49</v>
      </c>
      <c r="V19" s="182">
        <v>5947.05</v>
      </c>
      <c r="W19" s="184">
        <v>5408</v>
      </c>
      <c r="X19" s="20">
        <v>2068.1666666666665</v>
      </c>
      <c r="Y19" s="20">
        <v>10855.916666666666</v>
      </c>
      <c r="Z19" s="15">
        <v>3111</v>
      </c>
    </row>
    <row r="20" spans="1:26" ht="12.75">
      <c r="A20">
        <v>19</v>
      </c>
      <c r="B20" s="15">
        <v>1995</v>
      </c>
      <c r="C20" s="183">
        <v>3381.41</v>
      </c>
      <c r="D20" s="181">
        <v>4324.86</v>
      </c>
      <c r="E20" s="181">
        <v>4069.43</v>
      </c>
      <c r="F20" s="181">
        <v>6407.28</v>
      </c>
      <c r="G20" s="181">
        <v>6333.93</v>
      </c>
      <c r="H20" s="181">
        <v>5450.56</v>
      </c>
      <c r="I20" s="181">
        <v>6018.52</v>
      </c>
      <c r="J20" s="181">
        <v>3641.12</v>
      </c>
      <c r="K20" s="181">
        <v>4087.82</v>
      </c>
      <c r="L20" s="181">
        <v>6135.27</v>
      </c>
      <c r="M20" s="181">
        <v>5369.96</v>
      </c>
      <c r="N20" s="181">
        <v>6526.22</v>
      </c>
      <c r="O20" s="181">
        <v>5909.05</v>
      </c>
      <c r="P20" s="182">
        <v>3833.36</v>
      </c>
      <c r="Q20" s="175">
        <v>8378.68</v>
      </c>
      <c r="R20" s="183">
        <v>6431</v>
      </c>
      <c r="S20" s="181">
        <v>5648.52</v>
      </c>
      <c r="T20" s="181">
        <v>6558.16</v>
      </c>
      <c r="U20" s="181">
        <v>5924.09</v>
      </c>
      <c r="V20" s="182">
        <v>6053.67</v>
      </c>
      <c r="W20" s="184">
        <v>5471</v>
      </c>
      <c r="X20" s="20">
        <v>1992.8333333333333</v>
      </c>
      <c r="Y20" s="20">
        <v>11146.25</v>
      </c>
      <c r="Z20" s="15">
        <v>3111</v>
      </c>
    </row>
    <row r="21" spans="1:26" ht="12.75">
      <c r="A21">
        <v>20</v>
      </c>
      <c r="B21" s="15">
        <v>1996</v>
      </c>
      <c r="C21" s="183">
        <v>3601.31</v>
      </c>
      <c r="D21" s="181">
        <v>4544.51</v>
      </c>
      <c r="E21" s="181">
        <v>4264.98</v>
      </c>
      <c r="F21" s="181">
        <v>6772.2</v>
      </c>
      <c r="G21" s="181">
        <v>6743.46</v>
      </c>
      <c r="H21" s="181">
        <v>5488.81</v>
      </c>
      <c r="I21" s="181">
        <v>6187.09</v>
      </c>
      <c r="J21" s="181">
        <v>3870.81</v>
      </c>
      <c r="K21" s="181">
        <v>4334.09</v>
      </c>
      <c r="L21" s="181">
        <v>6428.7</v>
      </c>
      <c r="M21" s="181">
        <v>5652.65</v>
      </c>
      <c r="N21" s="181">
        <v>6558.44</v>
      </c>
      <c r="O21" s="181">
        <v>6298.52</v>
      </c>
      <c r="P21" s="182">
        <v>3973.26</v>
      </c>
      <c r="Q21" s="175">
        <v>8554.47</v>
      </c>
      <c r="R21" s="183">
        <v>6599.25</v>
      </c>
      <c r="S21" s="181">
        <v>5984.29</v>
      </c>
      <c r="T21" s="181">
        <v>6629.61</v>
      </c>
      <c r="U21" s="181">
        <v>6086.77</v>
      </c>
      <c r="V21" s="182">
        <v>6302.04</v>
      </c>
      <c r="W21" s="184">
        <v>5620</v>
      </c>
      <c r="X21" s="20">
        <v>2045.8333333333333</v>
      </c>
      <c r="Y21" s="20">
        <v>11443.833333333334</v>
      </c>
      <c r="Z21" s="15">
        <v>3203</v>
      </c>
    </row>
    <row r="22" spans="1:26" ht="12.75">
      <c r="A22">
        <v>21</v>
      </c>
      <c r="B22" s="15">
        <v>1997</v>
      </c>
      <c r="C22" s="183">
        <v>3690.27</v>
      </c>
      <c r="D22" s="181">
        <v>4502.11</v>
      </c>
      <c r="E22" s="181">
        <v>4310.28</v>
      </c>
      <c r="F22" s="181">
        <v>6747.28</v>
      </c>
      <c r="G22" s="181">
        <v>6625.83</v>
      </c>
      <c r="H22" s="181">
        <v>5585.21</v>
      </c>
      <c r="I22" s="181">
        <v>6264.58</v>
      </c>
      <c r="J22" s="181">
        <v>3935.95</v>
      </c>
      <c r="K22" s="181">
        <v>4329.24</v>
      </c>
      <c r="L22" s="181">
        <v>6619.64</v>
      </c>
      <c r="M22" s="181">
        <v>5909.18</v>
      </c>
      <c r="N22" s="181">
        <v>6663.55</v>
      </c>
      <c r="O22" s="181">
        <v>6434.11</v>
      </c>
      <c r="P22" s="181">
        <v>4013.79</v>
      </c>
      <c r="Q22" s="185">
        <v>8742.88</v>
      </c>
      <c r="R22" s="181">
        <v>7057.36</v>
      </c>
      <c r="S22" s="181">
        <v>5889.15</v>
      </c>
      <c r="T22" s="181">
        <v>6731.08</v>
      </c>
      <c r="U22" s="181">
        <v>6639.85</v>
      </c>
      <c r="V22" s="182">
        <v>6474.56</v>
      </c>
      <c r="W22" s="184">
        <v>5826</v>
      </c>
      <c r="X22" s="20">
        <v>2225.9166666666665</v>
      </c>
      <c r="Y22" s="20">
        <v>11697.333333333334</v>
      </c>
      <c r="Z22" s="15">
        <v>3364</v>
      </c>
    </row>
    <row r="23" spans="1:26" ht="12.75">
      <c r="A23">
        <v>22</v>
      </c>
      <c r="B23" s="15">
        <v>1998</v>
      </c>
      <c r="C23" s="183">
        <v>3772.43</v>
      </c>
      <c r="D23" s="181">
        <v>4534.38</v>
      </c>
      <c r="E23" s="181">
        <v>4230.88</v>
      </c>
      <c r="F23" s="181">
        <v>6921.04</v>
      </c>
      <c r="G23" s="181">
        <v>7086.96</v>
      </c>
      <c r="H23" s="181">
        <v>5641.21</v>
      </c>
      <c r="I23" s="181">
        <v>6347.97</v>
      </c>
      <c r="J23" s="181">
        <v>3960.19</v>
      </c>
      <c r="K23" s="181">
        <v>4470.35</v>
      </c>
      <c r="L23" s="181">
        <v>6817.65</v>
      </c>
      <c r="M23" s="181">
        <v>5981.26</v>
      </c>
      <c r="N23" s="181">
        <v>6851.95</v>
      </c>
      <c r="O23" s="181">
        <v>6628.38</v>
      </c>
      <c r="P23" s="182">
        <v>3994.93</v>
      </c>
      <c r="Q23" s="175">
        <v>8899.59</v>
      </c>
      <c r="R23" s="183">
        <v>7297.87</v>
      </c>
      <c r="S23" s="181">
        <v>5976.05</v>
      </c>
      <c r="T23" s="181">
        <v>6845.59</v>
      </c>
      <c r="U23" s="181">
        <v>6957.81</v>
      </c>
      <c r="V23" s="182">
        <v>6598.82</v>
      </c>
      <c r="W23" s="184">
        <v>5920</v>
      </c>
      <c r="X23" s="20">
        <v>2179.25</v>
      </c>
      <c r="Y23" s="20">
        <v>12024.416666666666</v>
      </c>
      <c r="Z23" s="15">
        <v>3391</v>
      </c>
    </row>
    <row r="24" spans="1:26" ht="12.75">
      <c r="A24">
        <v>23</v>
      </c>
      <c r="B24" s="15">
        <v>1999</v>
      </c>
      <c r="C24" s="183">
        <v>3849.39</v>
      </c>
      <c r="D24" s="181">
        <v>4564.19</v>
      </c>
      <c r="E24" s="181">
        <v>4472.05</v>
      </c>
      <c r="F24" s="181">
        <v>7103.92</v>
      </c>
      <c r="G24" s="181">
        <v>7464.71</v>
      </c>
      <c r="H24" s="181">
        <v>5888.56</v>
      </c>
      <c r="I24" s="181">
        <v>6462.03</v>
      </c>
      <c r="J24" s="181">
        <v>3968.5</v>
      </c>
      <c r="K24" s="181">
        <v>4498.45</v>
      </c>
      <c r="L24" s="181">
        <v>6943.56</v>
      </c>
      <c r="M24" s="181">
        <v>5999.65</v>
      </c>
      <c r="N24" s="181">
        <v>6825.97</v>
      </c>
      <c r="O24" s="181">
        <v>6878.53</v>
      </c>
      <c r="P24" s="182">
        <v>3945.01</v>
      </c>
      <c r="Q24" s="175">
        <v>9355.77</v>
      </c>
      <c r="R24" s="183">
        <v>7487.01</v>
      </c>
      <c r="S24" s="181">
        <v>6068.33</v>
      </c>
      <c r="T24" s="181">
        <v>6816.7</v>
      </c>
      <c r="U24" s="181">
        <v>7137.17</v>
      </c>
      <c r="V24" s="182">
        <v>6806.23</v>
      </c>
      <c r="W24" s="184">
        <v>6059</v>
      </c>
      <c r="X24" s="20">
        <v>2184.0833333333335</v>
      </c>
      <c r="Y24" s="20">
        <v>12382.583333333334</v>
      </c>
      <c r="Z24" s="15">
        <v>3456</v>
      </c>
    </row>
    <row r="25" spans="1:26" ht="12.75">
      <c r="A25">
        <v>24</v>
      </c>
      <c r="B25" s="15">
        <v>2000</v>
      </c>
      <c r="C25" s="183">
        <v>4105.86</v>
      </c>
      <c r="D25" s="181">
        <v>4532.08</v>
      </c>
      <c r="E25" s="181">
        <v>4504.66</v>
      </c>
      <c r="F25" s="181">
        <v>6986.61</v>
      </c>
      <c r="G25" s="181">
        <v>7747.96</v>
      </c>
      <c r="H25" s="181">
        <v>6044.89</v>
      </c>
      <c r="I25" s="181">
        <v>6733.83</v>
      </c>
      <c r="J25" s="181">
        <v>3985.86</v>
      </c>
      <c r="K25" s="181">
        <v>4766.74</v>
      </c>
      <c r="L25" s="181">
        <v>7100.4</v>
      </c>
      <c r="M25" s="181">
        <v>6221.07</v>
      </c>
      <c r="N25" s="181">
        <v>7068.04</v>
      </c>
      <c r="O25" s="181">
        <v>6995.02</v>
      </c>
      <c r="P25" s="182">
        <v>4016.26</v>
      </c>
      <c r="Q25" s="175">
        <v>9379.14</v>
      </c>
      <c r="R25" s="183">
        <v>7600.26</v>
      </c>
      <c r="S25" s="181">
        <v>6198.9</v>
      </c>
      <c r="T25" s="181">
        <v>7447.99</v>
      </c>
      <c r="U25" s="181">
        <v>7368.25</v>
      </c>
      <c r="V25" s="182">
        <v>6851.3</v>
      </c>
      <c r="W25" s="184">
        <v>6221</v>
      </c>
      <c r="X25" s="20">
        <v>2195.0833333333335</v>
      </c>
      <c r="Y25" s="20">
        <v>12789.666666666666</v>
      </c>
      <c r="Z25" s="15">
        <v>3539</v>
      </c>
    </row>
    <row r="26" spans="1:26" ht="12.75">
      <c r="A26">
        <v>25</v>
      </c>
      <c r="B26" s="15">
        <v>2001</v>
      </c>
      <c r="C26" s="183">
        <v>4045.52</v>
      </c>
      <c r="D26" s="181">
        <v>4542.29</v>
      </c>
      <c r="E26" s="181">
        <v>4716.58</v>
      </c>
      <c r="F26" s="181">
        <v>7042.39</v>
      </c>
      <c r="G26" s="181">
        <v>7679.62</v>
      </c>
      <c r="H26" s="181">
        <v>5858.12</v>
      </c>
      <c r="I26" s="181">
        <v>6920.63</v>
      </c>
      <c r="J26" s="181">
        <v>3854.32</v>
      </c>
      <c r="K26" s="181">
        <v>4663.08</v>
      </c>
      <c r="L26" s="181">
        <v>7378.92</v>
      </c>
      <c r="M26" s="181">
        <v>6477.21</v>
      </c>
      <c r="N26" s="181">
        <v>7226.92</v>
      </c>
      <c r="O26" s="181">
        <v>7317.41</v>
      </c>
      <c r="P26" s="182">
        <v>3984.38</v>
      </c>
      <c r="Q26" s="175">
        <v>10101.24</v>
      </c>
      <c r="R26" s="183">
        <v>7960.76</v>
      </c>
      <c r="S26" s="181">
        <v>6252.6</v>
      </c>
      <c r="T26" s="181">
        <v>7399.07</v>
      </c>
      <c r="U26" s="181">
        <v>7335.24</v>
      </c>
      <c r="V26" s="182">
        <v>7047.92</v>
      </c>
      <c r="W26" s="184">
        <v>6343</v>
      </c>
      <c r="X26" s="20">
        <v>2112.8333333333335</v>
      </c>
      <c r="Y26" s="20">
        <v>13242.25</v>
      </c>
      <c r="Z26" s="15">
        <v>3574</v>
      </c>
    </row>
    <row r="27" spans="1:26" ht="12.75">
      <c r="A27">
        <v>26</v>
      </c>
      <c r="B27" s="15">
        <v>2002</v>
      </c>
      <c r="C27" s="183">
        <v>4189.12</v>
      </c>
      <c r="D27" s="181">
        <v>4580.15</v>
      </c>
      <c r="E27" s="181">
        <v>4686.49</v>
      </c>
      <c r="F27" s="181">
        <v>7546.61</v>
      </c>
      <c r="G27" s="181">
        <v>7965.18</v>
      </c>
      <c r="H27" s="181">
        <v>6155.81</v>
      </c>
      <c r="I27" s="181">
        <v>7067.13</v>
      </c>
      <c r="J27" s="181">
        <v>3895.46</v>
      </c>
      <c r="K27" s="181">
        <v>4744.3</v>
      </c>
      <c r="L27" s="181">
        <v>7654.06</v>
      </c>
      <c r="M27" s="181">
        <v>6782.21</v>
      </c>
      <c r="N27" s="181">
        <v>7402.75</v>
      </c>
      <c r="O27" s="181">
        <v>7620.66</v>
      </c>
      <c r="P27" s="182">
        <v>3906.42</v>
      </c>
      <c r="Q27" s="175">
        <v>10009.06</v>
      </c>
      <c r="R27" s="183">
        <v>8226.27</v>
      </c>
      <c r="S27" s="181">
        <v>6419.37</v>
      </c>
      <c r="T27" s="181">
        <v>7644.46</v>
      </c>
      <c r="U27" s="181">
        <v>7561.98</v>
      </c>
      <c r="V27" s="182">
        <v>7197.19</v>
      </c>
      <c r="W27" s="184">
        <v>6538</v>
      </c>
      <c r="X27" s="20">
        <v>2043.6666666666667</v>
      </c>
      <c r="Y27" s="20">
        <v>13870.666666666666</v>
      </c>
      <c r="Z27" s="15">
        <v>3623</v>
      </c>
    </row>
    <row r="28" spans="1:26" ht="12.75">
      <c r="A28">
        <v>27</v>
      </c>
      <c r="B28" s="15">
        <v>2003</v>
      </c>
      <c r="C28" s="186">
        <v>4374.69</v>
      </c>
      <c r="D28" s="187">
        <v>4818.78</v>
      </c>
      <c r="E28" s="187">
        <v>4904.07</v>
      </c>
      <c r="F28" s="187">
        <v>7976.09</v>
      </c>
      <c r="G28" s="187">
        <v>8348.45</v>
      </c>
      <c r="H28" s="187">
        <v>6286.9</v>
      </c>
      <c r="I28" s="187">
        <v>7229.01</v>
      </c>
      <c r="J28" s="181">
        <v>4044.04</v>
      </c>
      <c r="K28" s="181">
        <v>5015.43</v>
      </c>
      <c r="L28" s="181">
        <v>7860.94</v>
      </c>
      <c r="M28" s="181">
        <v>6971.96</v>
      </c>
      <c r="N28" s="181">
        <v>7531.77</v>
      </c>
      <c r="O28" s="181">
        <v>7999.46</v>
      </c>
      <c r="P28" s="188">
        <v>3899.73</v>
      </c>
      <c r="Q28" s="175">
        <v>10386.73</v>
      </c>
      <c r="R28" s="186">
        <v>8403.02</v>
      </c>
      <c r="S28" s="187">
        <v>6512.58</v>
      </c>
      <c r="T28" s="187">
        <v>7788.8</v>
      </c>
      <c r="U28" s="187">
        <v>7866.58</v>
      </c>
      <c r="V28" s="188">
        <v>7414.09</v>
      </c>
      <c r="W28" s="184">
        <v>6694</v>
      </c>
      <c r="X28" s="20">
        <v>1980.75</v>
      </c>
      <c r="Y28" s="20">
        <v>14385.666666666666</v>
      </c>
      <c r="Z28" s="15">
        <v>3693</v>
      </c>
    </row>
    <row r="29" spans="1:26" ht="12.75">
      <c r="A29">
        <v>28</v>
      </c>
      <c r="B29" s="167">
        <v>2004</v>
      </c>
      <c r="C29" s="189">
        <v>4533.6</v>
      </c>
      <c r="D29" s="190">
        <v>4978.88</v>
      </c>
      <c r="E29" s="190">
        <v>5125.83</v>
      </c>
      <c r="F29" s="190">
        <v>8216.29</v>
      </c>
      <c r="G29" s="190">
        <v>8927.07</v>
      </c>
      <c r="H29" s="190">
        <v>6587.24</v>
      </c>
      <c r="I29" s="190">
        <v>7468.96</v>
      </c>
      <c r="J29" s="169">
        <v>4207.65</v>
      </c>
      <c r="K29" s="170">
        <v>5310.42</v>
      </c>
      <c r="L29" s="170">
        <v>8191.41</v>
      </c>
      <c r="M29" s="170">
        <v>7494.32</v>
      </c>
      <c r="N29" s="170">
        <v>7899.48</v>
      </c>
      <c r="O29" s="171">
        <v>8329.93</v>
      </c>
      <c r="P29" s="190">
        <v>4257.45</v>
      </c>
      <c r="Q29" s="172">
        <v>11279.53</v>
      </c>
      <c r="R29" s="190">
        <v>8701.1</v>
      </c>
      <c r="S29" s="190">
        <v>6884.92</v>
      </c>
      <c r="T29" s="172">
        <v>8091.66</v>
      </c>
      <c r="U29" s="190">
        <v>8014.67</v>
      </c>
      <c r="V29" s="172">
        <v>7797.3</v>
      </c>
      <c r="W29" s="184">
        <v>7115</v>
      </c>
      <c r="X29" s="20">
        <v>2295.8333333333335</v>
      </c>
      <c r="Y29" s="20">
        <v>14977.583333333334</v>
      </c>
      <c r="Z29" s="15">
        <v>3984</v>
      </c>
    </row>
    <row r="30" spans="1:26" ht="12.75">
      <c r="A30">
        <v>29</v>
      </c>
      <c r="B30" s="173">
        <v>2005</v>
      </c>
      <c r="C30" s="174">
        <v>4678.480833333333</v>
      </c>
      <c r="D30" s="174">
        <v>5277.701666666667</v>
      </c>
      <c r="E30" s="174">
        <v>5308.6025</v>
      </c>
      <c r="F30" s="174">
        <v>8684.806666666667</v>
      </c>
      <c r="G30" s="174">
        <v>9603.47</v>
      </c>
      <c r="H30" s="174">
        <v>7031.365000000001</v>
      </c>
      <c r="I30" s="174">
        <v>7763.3308333333325</v>
      </c>
      <c r="J30" s="174">
        <v>4528.393333333334</v>
      </c>
      <c r="K30" s="174">
        <v>5476.758333333335</v>
      </c>
      <c r="L30" s="174">
        <v>8585.485</v>
      </c>
      <c r="M30" s="174">
        <v>8022.285000000003</v>
      </c>
      <c r="N30" s="174">
        <v>8330.105833333333</v>
      </c>
      <c r="O30" s="174">
        <v>8858.564999999999</v>
      </c>
      <c r="P30" s="174">
        <v>4390.995833333333</v>
      </c>
      <c r="Q30" s="174">
        <v>11810.41</v>
      </c>
      <c r="R30" s="174">
        <v>8743.06833333333</v>
      </c>
      <c r="S30" s="174">
        <v>7035.583333333335</v>
      </c>
      <c r="T30" s="174">
        <v>8298.838333333331</v>
      </c>
      <c r="U30" s="174">
        <v>8264.5875</v>
      </c>
      <c r="V30" s="174">
        <v>8181.543333333332</v>
      </c>
      <c r="W30" s="191">
        <v>7443.72</v>
      </c>
      <c r="X30" s="15"/>
      <c r="Y30" s="15"/>
      <c r="Z30" s="15"/>
    </row>
    <row r="31" spans="1:26" ht="12.75">
      <c r="A31">
        <v>30</v>
      </c>
      <c r="B31" s="173">
        <v>2006</v>
      </c>
      <c r="C31" s="174">
        <v>4829.297500000001</v>
      </c>
      <c r="D31" s="174">
        <v>5471.68</v>
      </c>
      <c r="E31" s="174">
        <v>5576.78</v>
      </c>
      <c r="F31" s="174">
        <v>9208.61</v>
      </c>
      <c r="G31" s="174">
        <v>10123.16</v>
      </c>
      <c r="H31" s="174">
        <v>7283</v>
      </c>
      <c r="I31" s="174">
        <v>7901.41</v>
      </c>
      <c r="J31" s="174">
        <v>4696.5325</v>
      </c>
      <c r="K31" s="174">
        <v>5560.05</v>
      </c>
      <c r="L31" s="174">
        <v>8768.1</v>
      </c>
      <c r="M31" s="174">
        <v>8389.66</v>
      </c>
      <c r="N31" s="174">
        <v>8559.83</v>
      </c>
      <c r="O31" s="174">
        <v>9024.095000000001</v>
      </c>
      <c r="P31" s="174">
        <v>4451.805</v>
      </c>
      <c r="Q31" s="174">
        <v>11993.7125</v>
      </c>
      <c r="R31" s="174">
        <v>9209.1</v>
      </c>
      <c r="S31" s="174">
        <v>7248.39</v>
      </c>
      <c r="T31" s="174">
        <v>8452.692500000001</v>
      </c>
      <c r="U31" s="174">
        <v>8454.43</v>
      </c>
      <c r="V31" s="174">
        <v>8479.26</v>
      </c>
      <c r="W31" s="192">
        <f>AVERAGE(C31:V31)</f>
        <v>7684.07975</v>
      </c>
      <c r="X31" s="2" t="s">
        <v>38</v>
      </c>
      <c r="Z31" s="2"/>
    </row>
    <row r="36" ht="12.75">
      <c r="B36" s="6"/>
    </row>
    <row r="37" spans="1:31" s="1" customFormat="1" ht="12.75">
      <c r="A37">
        <v>1</v>
      </c>
      <c r="B37" s="6"/>
      <c r="C37" s="16">
        <v>1978</v>
      </c>
      <c r="D37" s="4">
        <v>1979</v>
      </c>
      <c r="E37" s="4">
        <v>1980</v>
      </c>
      <c r="F37" s="4">
        <v>1981</v>
      </c>
      <c r="G37" s="4">
        <v>1982</v>
      </c>
      <c r="H37" s="4">
        <v>1983</v>
      </c>
      <c r="I37" s="4">
        <v>1984</v>
      </c>
      <c r="J37" s="4">
        <v>1985</v>
      </c>
      <c r="K37" s="4">
        <v>1986</v>
      </c>
      <c r="L37" s="4">
        <v>1987</v>
      </c>
      <c r="M37" s="4">
        <v>1988</v>
      </c>
      <c r="N37" s="4">
        <v>1989</v>
      </c>
      <c r="O37" s="4">
        <v>1990</v>
      </c>
      <c r="P37" s="4">
        <v>1991</v>
      </c>
      <c r="Q37" s="4">
        <v>1992</v>
      </c>
      <c r="R37" s="4">
        <v>1993</v>
      </c>
      <c r="S37" s="4">
        <v>1994</v>
      </c>
      <c r="T37" s="4">
        <v>1995</v>
      </c>
      <c r="U37" s="4">
        <v>1996</v>
      </c>
      <c r="V37" s="4">
        <v>1997</v>
      </c>
      <c r="W37" s="4">
        <v>1998</v>
      </c>
      <c r="X37" s="4">
        <v>1999</v>
      </c>
      <c r="Y37" s="4">
        <v>2000</v>
      </c>
      <c r="Z37" s="4">
        <v>2001</v>
      </c>
      <c r="AA37" s="4">
        <v>2002</v>
      </c>
      <c r="AB37" s="16">
        <v>2003</v>
      </c>
      <c r="AC37" s="4">
        <v>2004</v>
      </c>
      <c r="AD37" s="4">
        <v>2005</v>
      </c>
      <c r="AE37" s="4">
        <v>2006</v>
      </c>
    </row>
    <row r="38" spans="1:35" ht="12.75">
      <c r="A38">
        <v>2</v>
      </c>
      <c r="B38" s="4" t="s">
        <v>15</v>
      </c>
      <c r="C38" s="175">
        <v>2172.6</v>
      </c>
      <c r="D38" s="176">
        <v>2358.43</v>
      </c>
      <c r="E38" s="183">
        <v>2535.72</v>
      </c>
      <c r="F38" s="183">
        <v>2801.31</v>
      </c>
      <c r="G38" s="183">
        <v>3034.47</v>
      </c>
      <c r="H38" s="183">
        <v>2909</v>
      </c>
      <c r="I38" s="183">
        <v>2898.53</v>
      </c>
      <c r="J38" s="183">
        <v>2909.71</v>
      </c>
      <c r="K38" s="183">
        <v>3018.67</v>
      </c>
      <c r="L38" s="183">
        <v>3094.92</v>
      </c>
      <c r="M38" s="183">
        <v>3107.63</v>
      </c>
      <c r="N38" s="183">
        <v>3141.55</v>
      </c>
      <c r="O38" s="183">
        <v>3191.55</v>
      </c>
      <c r="P38" s="183">
        <v>3224.67</v>
      </c>
      <c r="Q38" s="183">
        <v>3348.42</v>
      </c>
      <c r="R38" s="183">
        <v>3389.89</v>
      </c>
      <c r="S38" s="183">
        <v>3430.97</v>
      </c>
      <c r="T38" s="183">
        <v>3381.41</v>
      </c>
      <c r="U38" s="183">
        <v>3601.31</v>
      </c>
      <c r="V38" s="183">
        <v>3690.27</v>
      </c>
      <c r="W38" s="183">
        <v>3772.43</v>
      </c>
      <c r="X38" s="183">
        <v>3849.39</v>
      </c>
      <c r="Y38" s="183">
        <v>4105.86</v>
      </c>
      <c r="Z38" s="183">
        <v>4045.52</v>
      </c>
      <c r="AA38" s="183">
        <v>4189.12</v>
      </c>
      <c r="AB38" s="193">
        <v>4374.69</v>
      </c>
      <c r="AC38" s="194">
        <v>4533.6</v>
      </c>
      <c r="AD38" s="174">
        <v>4678.480833333333</v>
      </c>
      <c r="AE38" s="174">
        <v>4829.297500000001</v>
      </c>
      <c r="AH38" s="26">
        <v>1</v>
      </c>
      <c r="AI38" s="16">
        <v>1978</v>
      </c>
    </row>
    <row r="39" spans="1:35" ht="12.75">
      <c r="A39">
        <v>3</v>
      </c>
      <c r="B39" s="4" t="s">
        <v>16</v>
      </c>
      <c r="C39" s="175">
        <v>2396.39</v>
      </c>
      <c r="D39" s="177">
        <v>2719.34</v>
      </c>
      <c r="E39" s="181">
        <v>2904.39</v>
      </c>
      <c r="F39" s="181">
        <v>3060.78</v>
      </c>
      <c r="G39" s="181">
        <v>3097.4</v>
      </c>
      <c r="H39" s="181">
        <v>3107.35</v>
      </c>
      <c r="I39" s="181">
        <v>3158.77</v>
      </c>
      <c r="J39" s="181">
        <v>3236.9</v>
      </c>
      <c r="K39" s="181">
        <v>3372.26</v>
      </c>
      <c r="L39" s="181">
        <v>3560.91</v>
      </c>
      <c r="M39" s="181">
        <v>3576.83</v>
      </c>
      <c r="N39" s="181">
        <v>3707.18</v>
      </c>
      <c r="O39" s="181">
        <v>3884.43</v>
      </c>
      <c r="P39" s="181">
        <v>3858.19</v>
      </c>
      <c r="Q39" s="181">
        <v>3997.47</v>
      </c>
      <c r="R39" s="181">
        <v>4171.75</v>
      </c>
      <c r="S39" s="181">
        <v>4198.95</v>
      </c>
      <c r="T39" s="181">
        <v>4324.86</v>
      </c>
      <c r="U39" s="181">
        <v>4544.51</v>
      </c>
      <c r="V39" s="181">
        <v>4502.11</v>
      </c>
      <c r="W39" s="181">
        <v>4534.38</v>
      </c>
      <c r="X39" s="181">
        <v>4564.19</v>
      </c>
      <c r="Y39" s="181">
        <v>4532.08</v>
      </c>
      <c r="Z39" s="181">
        <v>4542.29</v>
      </c>
      <c r="AA39" s="181">
        <v>4580.15</v>
      </c>
      <c r="AB39" s="188">
        <v>4818.78</v>
      </c>
      <c r="AC39" s="194">
        <v>4978.88</v>
      </c>
      <c r="AD39" s="174">
        <v>5277.701666666667</v>
      </c>
      <c r="AE39" s="174">
        <v>5471.68</v>
      </c>
      <c r="AH39" s="26">
        <v>2</v>
      </c>
      <c r="AI39" s="4">
        <v>1979</v>
      </c>
    </row>
    <row r="40" spans="1:35" ht="12.75">
      <c r="A40">
        <v>4</v>
      </c>
      <c r="B40" s="4" t="s">
        <v>17</v>
      </c>
      <c r="C40" s="175">
        <v>2283.3</v>
      </c>
      <c r="D40" s="177">
        <v>2431.67</v>
      </c>
      <c r="E40" s="181">
        <v>2558.45</v>
      </c>
      <c r="F40" s="181">
        <v>2768.12</v>
      </c>
      <c r="G40" s="181">
        <v>2853.6</v>
      </c>
      <c r="H40" s="181">
        <v>2983.6</v>
      </c>
      <c r="I40" s="181">
        <v>3074.83</v>
      </c>
      <c r="J40" s="181">
        <v>3037.76</v>
      </c>
      <c r="K40" s="181">
        <v>3083.92</v>
      </c>
      <c r="L40" s="181">
        <v>3251.65</v>
      </c>
      <c r="M40" s="181">
        <v>3331.21</v>
      </c>
      <c r="N40" s="181">
        <v>3413.76</v>
      </c>
      <c r="O40" s="181">
        <v>3426.41</v>
      </c>
      <c r="P40" s="181">
        <v>3466.21</v>
      </c>
      <c r="Q40" s="181">
        <v>3665.33</v>
      </c>
      <c r="R40" s="181">
        <v>3919.97</v>
      </c>
      <c r="S40" s="181">
        <v>3940.28</v>
      </c>
      <c r="T40" s="181">
        <v>4069.43</v>
      </c>
      <c r="U40" s="181">
        <v>4264.98</v>
      </c>
      <c r="V40" s="181">
        <v>4310.28</v>
      </c>
      <c r="W40" s="181">
        <v>4230.88</v>
      </c>
      <c r="X40" s="181">
        <v>4472.05</v>
      </c>
      <c r="Y40" s="181">
        <v>4504.66</v>
      </c>
      <c r="Z40" s="181">
        <v>4716.58</v>
      </c>
      <c r="AA40" s="181">
        <v>4686.49</v>
      </c>
      <c r="AB40" s="188">
        <v>4904.07</v>
      </c>
      <c r="AC40" s="194">
        <v>5125.83</v>
      </c>
      <c r="AD40" s="174">
        <v>5308.6025</v>
      </c>
      <c r="AE40" s="174">
        <v>5576.78</v>
      </c>
      <c r="AH40" s="26">
        <v>3</v>
      </c>
      <c r="AI40" s="4">
        <v>1980</v>
      </c>
    </row>
    <row r="41" spans="1:35" ht="12.75">
      <c r="A41">
        <v>5</v>
      </c>
      <c r="B41" s="4" t="s">
        <v>18</v>
      </c>
      <c r="C41" s="175">
        <v>2772.83</v>
      </c>
      <c r="D41" s="177">
        <v>3096.16</v>
      </c>
      <c r="E41" s="181">
        <v>3173.98</v>
      </c>
      <c r="F41" s="181">
        <v>3659.88</v>
      </c>
      <c r="G41" s="181">
        <v>3993.72</v>
      </c>
      <c r="H41" s="181">
        <v>4204.75</v>
      </c>
      <c r="I41" s="181">
        <v>4497.4</v>
      </c>
      <c r="J41" s="181">
        <v>4685.85</v>
      </c>
      <c r="K41" s="181">
        <v>4722.66</v>
      </c>
      <c r="L41" s="181">
        <v>4941.39</v>
      </c>
      <c r="M41" s="181">
        <v>5137.58</v>
      </c>
      <c r="N41" s="181">
        <v>5373.14</v>
      </c>
      <c r="O41" s="181">
        <v>5614.79</v>
      </c>
      <c r="P41" s="181">
        <v>5722.5</v>
      </c>
      <c r="Q41" s="181">
        <v>5973.33</v>
      </c>
      <c r="R41" s="181">
        <v>6380.25</v>
      </c>
      <c r="S41" s="181">
        <v>6404.34</v>
      </c>
      <c r="T41" s="181">
        <v>6407.28</v>
      </c>
      <c r="U41" s="181">
        <v>6772.2</v>
      </c>
      <c r="V41" s="181">
        <v>6747.28</v>
      </c>
      <c r="W41" s="181">
        <v>6921.04</v>
      </c>
      <c r="X41" s="181">
        <v>7103.92</v>
      </c>
      <c r="Y41" s="181">
        <v>6986.61</v>
      </c>
      <c r="Z41" s="181">
        <v>7042.39</v>
      </c>
      <c r="AA41" s="181">
        <v>7546.61</v>
      </c>
      <c r="AB41" s="188">
        <v>7976.09</v>
      </c>
      <c r="AC41" s="194">
        <v>8216.29</v>
      </c>
      <c r="AD41" s="174">
        <v>8684.806666666667</v>
      </c>
      <c r="AE41" s="174">
        <v>9208.61</v>
      </c>
      <c r="AH41" s="26">
        <v>4</v>
      </c>
      <c r="AI41" s="4">
        <v>1981</v>
      </c>
    </row>
    <row r="42" spans="1:35" ht="12.75">
      <c r="A42">
        <v>6</v>
      </c>
      <c r="B42" s="4" t="s">
        <v>19</v>
      </c>
      <c r="C42" s="175">
        <v>2981.85</v>
      </c>
      <c r="D42" s="177">
        <v>3266.78</v>
      </c>
      <c r="E42" s="181">
        <v>3497.25</v>
      </c>
      <c r="F42" s="181">
        <v>3749.45</v>
      </c>
      <c r="G42" s="181">
        <v>4106.45</v>
      </c>
      <c r="H42" s="181">
        <v>4235.73</v>
      </c>
      <c r="I42" s="181">
        <v>4319.75</v>
      </c>
      <c r="J42" s="181">
        <v>4367.28</v>
      </c>
      <c r="K42" s="181">
        <v>4495.88</v>
      </c>
      <c r="L42" s="181">
        <v>4686.53</v>
      </c>
      <c r="M42" s="181">
        <v>4844.48</v>
      </c>
      <c r="N42" s="181">
        <v>4957.69</v>
      </c>
      <c r="O42" s="181">
        <v>4998.8</v>
      </c>
      <c r="P42" s="181">
        <v>5384.16</v>
      </c>
      <c r="Q42" s="181">
        <v>5643.78</v>
      </c>
      <c r="R42" s="181">
        <v>5962.58</v>
      </c>
      <c r="S42" s="181">
        <v>6177.81</v>
      </c>
      <c r="T42" s="181">
        <v>6333.93</v>
      </c>
      <c r="U42" s="181">
        <v>6743.46</v>
      </c>
      <c r="V42" s="181">
        <v>6625.83</v>
      </c>
      <c r="W42" s="181">
        <v>7086.96</v>
      </c>
      <c r="X42" s="181">
        <v>7464.71</v>
      </c>
      <c r="Y42" s="181">
        <v>7747.96</v>
      </c>
      <c r="Z42" s="181">
        <v>7679.62</v>
      </c>
      <c r="AA42" s="181">
        <v>7965.18</v>
      </c>
      <c r="AB42" s="188">
        <v>8348.45</v>
      </c>
      <c r="AC42" s="194">
        <v>8927.07</v>
      </c>
      <c r="AD42" s="174">
        <v>9603.47</v>
      </c>
      <c r="AE42" s="174">
        <v>10123.16</v>
      </c>
      <c r="AH42" s="26">
        <v>5</v>
      </c>
      <c r="AI42" s="4">
        <v>1982</v>
      </c>
    </row>
    <row r="43" spans="1:35" ht="12.75">
      <c r="A43">
        <v>7</v>
      </c>
      <c r="B43" s="4" t="s">
        <v>20</v>
      </c>
      <c r="C43" s="176">
        <v>3088.21</v>
      </c>
      <c r="D43" s="181">
        <v>3349.05</v>
      </c>
      <c r="E43" s="181">
        <v>3609.93</v>
      </c>
      <c r="F43" s="181">
        <v>4045.44</v>
      </c>
      <c r="G43" s="181">
        <v>4234.64</v>
      </c>
      <c r="H43" s="181">
        <v>4398.6</v>
      </c>
      <c r="I43" s="181">
        <v>4437.58</v>
      </c>
      <c r="J43" s="181">
        <v>4548.2</v>
      </c>
      <c r="K43" s="181">
        <v>4567.24</v>
      </c>
      <c r="L43" s="181">
        <v>4647.13</v>
      </c>
      <c r="M43" s="181">
        <v>4700.51</v>
      </c>
      <c r="N43" s="181">
        <v>4877.51</v>
      </c>
      <c r="O43" s="181">
        <v>4933.91</v>
      </c>
      <c r="P43" s="181">
        <v>5011.1</v>
      </c>
      <c r="Q43" s="181">
        <v>5209.18</v>
      </c>
      <c r="R43" s="181">
        <v>5344.53</v>
      </c>
      <c r="S43" s="181">
        <v>5504.43</v>
      </c>
      <c r="T43" s="181">
        <v>5450.56</v>
      </c>
      <c r="U43" s="181">
        <v>5488.81</v>
      </c>
      <c r="V43" s="181">
        <v>5585.21</v>
      </c>
      <c r="W43" s="181">
        <v>5641.21</v>
      </c>
      <c r="X43" s="181">
        <v>5888.56</v>
      </c>
      <c r="Y43" s="181">
        <v>6044.89</v>
      </c>
      <c r="Z43" s="181">
        <v>5858.12</v>
      </c>
      <c r="AA43" s="181">
        <v>6155.81</v>
      </c>
      <c r="AB43" s="188">
        <v>6286.9</v>
      </c>
      <c r="AC43" s="194">
        <v>6587.24</v>
      </c>
      <c r="AD43" s="174">
        <v>7031.365000000001</v>
      </c>
      <c r="AE43" s="174">
        <v>7283</v>
      </c>
      <c r="AH43" s="26">
        <v>6</v>
      </c>
      <c r="AI43" s="4">
        <v>1983</v>
      </c>
    </row>
    <row r="44" spans="1:35" ht="12.75">
      <c r="A44">
        <v>8</v>
      </c>
      <c r="B44" s="4" t="s">
        <v>21</v>
      </c>
      <c r="C44" s="177">
        <v>3267.97</v>
      </c>
      <c r="D44" s="181">
        <v>3565.5</v>
      </c>
      <c r="E44" s="181">
        <v>3860.76</v>
      </c>
      <c r="F44" s="181">
        <v>4379.04</v>
      </c>
      <c r="G44" s="181">
        <v>4669.64</v>
      </c>
      <c r="H44" s="181">
        <v>4847.04</v>
      </c>
      <c r="I44" s="181">
        <v>5073.08</v>
      </c>
      <c r="J44" s="181">
        <v>4992.32</v>
      </c>
      <c r="K44" s="181">
        <v>5061.56</v>
      </c>
      <c r="L44" s="181">
        <v>5251.44</v>
      </c>
      <c r="M44" s="181">
        <v>5237.37</v>
      </c>
      <c r="N44" s="181">
        <v>5161.68</v>
      </c>
      <c r="O44" s="181">
        <v>5368.82</v>
      </c>
      <c r="P44" s="181">
        <v>5450.25</v>
      </c>
      <c r="Q44" s="181">
        <v>5501.09</v>
      </c>
      <c r="R44" s="181">
        <v>5752.29</v>
      </c>
      <c r="S44" s="181">
        <v>5922.53</v>
      </c>
      <c r="T44" s="181">
        <v>6018.52</v>
      </c>
      <c r="U44" s="181">
        <v>6187.09</v>
      </c>
      <c r="V44" s="181">
        <v>6264.58</v>
      </c>
      <c r="W44" s="181">
        <v>6347.97</v>
      </c>
      <c r="X44" s="181">
        <v>6462.03</v>
      </c>
      <c r="Y44" s="181">
        <v>6733.83</v>
      </c>
      <c r="Z44" s="181">
        <v>6920.63</v>
      </c>
      <c r="AA44" s="181">
        <v>7067.13</v>
      </c>
      <c r="AB44" s="188">
        <v>7229.01</v>
      </c>
      <c r="AC44" s="194">
        <v>7468.96</v>
      </c>
      <c r="AD44" s="174">
        <v>7763.3308333333325</v>
      </c>
      <c r="AE44" s="174">
        <v>7901.41</v>
      </c>
      <c r="AH44" s="26">
        <v>7</v>
      </c>
      <c r="AI44" s="4">
        <v>1984</v>
      </c>
    </row>
    <row r="45" spans="1:35" ht="12.75">
      <c r="A45">
        <v>9</v>
      </c>
      <c r="B45" s="4" t="s">
        <v>22</v>
      </c>
      <c r="C45" s="177">
        <v>2082.95</v>
      </c>
      <c r="D45" s="181">
        <v>2427.24</v>
      </c>
      <c r="E45" s="181">
        <v>2683.34</v>
      </c>
      <c r="F45" s="181">
        <v>2975.25</v>
      </c>
      <c r="G45" s="181">
        <v>3192.54</v>
      </c>
      <c r="H45" s="181">
        <v>3263.61</v>
      </c>
      <c r="I45" s="181">
        <v>2950.4</v>
      </c>
      <c r="J45" s="181">
        <v>2997.36</v>
      </c>
      <c r="K45" s="181">
        <v>3152.84</v>
      </c>
      <c r="L45" s="181">
        <v>2985.85</v>
      </c>
      <c r="M45" s="181">
        <v>3184.72</v>
      </c>
      <c r="N45" s="181">
        <v>3208.39</v>
      </c>
      <c r="O45" s="181">
        <v>3195.21</v>
      </c>
      <c r="P45" s="181">
        <v>3336.53</v>
      </c>
      <c r="Q45" s="181">
        <v>3476.69</v>
      </c>
      <c r="R45" s="181">
        <v>3570.97</v>
      </c>
      <c r="S45" s="181">
        <v>3640.03</v>
      </c>
      <c r="T45" s="181">
        <v>3641.12</v>
      </c>
      <c r="U45" s="181">
        <v>3870.81</v>
      </c>
      <c r="V45" s="181">
        <v>3935.95</v>
      </c>
      <c r="W45" s="181">
        <v>3960.19</v>
      </c>
      <c r="X45" s="181">
        <v>3968.5</v>
      </c>
      <c r="Y45" s="181">
        <v>3985.86</v>
      </c>
      <c r="Z45" s="181">
        <v>3854.32</v>
      </c>
      <c r="AA45" s="181">
        <v>3895.46</v>
      </c>
      <c r="AB45" s="182">
        <v>4044.04</v>
      </c>
      <c r="AC45" s="194">
        <v>4207.65</v>
      </c>
      <c r="AD45" s="174">
        <v>4528.393333333334</v>
      </c>
      <c r="AE45" s="174">
        <v>4696.5325</v>
      </c>
      <c r="AH45" s="26">
        <v>8</v>
      </c>
      <c r="AI45" s="4">
        <v>1985</v>
      </c>
    </row>
    <row r="46" spans="1:35" ht="12.75">
      <c r="A46">
        <v>10</v>
      </c>
      <c r="B46" s="4" t="s">
        <v>23</v>
      </c>
      <c r="C46" s="177">
        <v>2564.77</v>
      </c>
      <c r="D46" s="181">
        <v>2739.14</v>
      </c>
      <c r="E46" s="181">
        <v>2947.14</v>
      </c>
      <c r="F46" s="181">
        <v>3200.57</v>
      </c>
      <c r="G46" s="181">
        <v>3445.7</v>
      </c>
      <c r="H46" s="181">
        <v>3690.22</v>
      </c>
      <c r="I46" s="181" t="s">
        <v>36</v>
      </c>
      <c r="J46" s="181">
        <v>3316.24</v>
      </c>
      <c r="K46" s="181">
        <v>3503.37</v>
      </c>
      <c r="L46" s="181">
        <v>3506.95</v>
      </c>
      <c r="M46" s="181">
        <v>3538.26</v>
      </c>
      <c r="N46" s="181">
        <v>3641.78</v>
      </c>
      <c r="O46" s="181">
        <v>3668.2</v>
      </c>
      <c r="P46" s="181">
        <v>3715.34</v>
      </c>
      <c r="Q46" s="181">
        <v>3833.64</v>
      </c>
      <c r="R46" s="181">
        <v>4012.02</v>
      </c>
      <c r="S46" s="181">
        <v>4008.74</v>
      </c>
      <c r="T46" s="181">
        <v>4087.82</v>
      </c>
      <c r="U46" s="181">
        <v>4334.09</v>
      </c>
      <c r="V46" s="181">
        <v>4329.24</v>
      </c>
      <c r="W46" s="181">
        <v>4470.35</v>
      </c>
      <c r="X46" s="181">
        <v>4498.45</v>
      </c>
      <c r="Y46" s="181">
        <v>4766.74</v>
      </c>
      <c r="Z46" s="181">
        <v>4663.08</v>
      </c>
      <c r="AA46" s="181">
        <v>4744.3</v>
      </c>
      <c r="AB46" s="182">
        <v>5015.43</v>
      </c>
      <c r="AC46" s="194">
        <v>5310.42</v>
      </c>
      <c r="AD46" s="174">
        <v>5476.758333333335</v>
      </c>
      <c r="AE46" s="174">
        <v>5560.05</v>
      </c>
      <c r="AH46" s="26">
        <v>9</v>
      </c>
      <c r="AI46" s="4">
        <v>1986</v>
      </c>
    </row>
    <row r="47" spans="1:35" ht="12.75">
      <c r="A47">
        <v>11</v>
      </c>
      <c r="B47" s="4" t="s">
        <v>24</v>
      </c>
      <c r="C47" s="177">
        <v>3223.97</v>
      </c>
      <c r="D47" s="181">
        <v>3492.04</v>
      </c>
      <c r="E47" s="181">
        <v>3798.23</v>
      </c>
      <c r="F47" s="181">
        <v>4138.17</v>
      </c>
      <c r="G47" s="181">
        <v>4244.91</v>
      </c>
      <c r="H47" s="181">
        <v>4375.55</v>
      </c>
      <c r="I47" s="181">
        <v>4331.1</v>
      </c>
      <c r="J47" s="181">
        <v>4468.09</v>
      </c>
      <c r="K47" s="181">
        <v>4674.95</v>
      </c>
      <c r="L47" s="181">
        <v>4859.89</v>
      </c>
      <c r="M47" s="181">
        <v>5092.67</v>
      </c>
      <c r="N47" s="181">
        <v>5171.88</v>
      </c>
      <c r="O47" s="181">
        <v>5153.9</v>
      </c>
      <c r="P47" s="181">
        <v>5244.65</v>
      </c>
      <c r="Q47" s="181">
        <v>5395.34</v>
      </c>
      <c r="R47" s="181">
        <v>5917.92</v>
      </c>
      <c r="S47" s="181">
        <v>5979.62</v>
      </c>
      <c r="T47" s="181">
        <v>6135.27</v>
      </c>
      <c r="U47" s="181">
        <v>6428.7</v>
      </c>
      <c r="V47" s="181">
        <v>6619.64</v>
      </c>
      <c r="W47" s="181">
        <v>6817.65</v>
      </c>
      <c r="X47" s="181">
        <v>6943.56</v>
      </c>
      <c r="Y47" s="181">
        <v>7100.4</v>
      </c>
      <c r="Z47" s="181">
        <v>7378.92</v>
      </c>
      <c r="AA47" s="181">
        <v>7654.06</v>
      </c>
      <c r="AB47" s="182">
        <v>7860.94</v>
      </c>
      <c r="AC47" s="194">
        <v>8191.41</v>
      </c>
      <c r="AD47" s="174">
        <v>8585.485</v>
      </c>
      <c r="AE47" s="174">
        <v>8768.1</v>
      </c>
      <c r="AH47" s="26">
        <v>10</v>
      </c>
      <c r="AI47" s="4">
        <v>1987</v>
      </c>
    </row>
    <row r="48" spans="1:35" ht="12.75">
      <c r="A48">
        <v>12</v>
      </c>
      <c r="B48" s="4" t="s">
        <v>25</v>
      </c>
      <c r="C48" s="177">
        <v>3039.64</v>
      </c>
      <c r="D48" s="181">
        <v>3256.47</v>
      </c>
      <c r="E48" s="181">
        <v>3551.83</v>
      </c>
      <c r="F48" s="181">
        <v>3838.22</v>
      </c>
      <c r="G48" s="181">
        <v>4069.74</v>
      </c>
      <c r="H48" s="181">
        <v>4199.38</v>
      </c>
      <c r="I48" s="181">
        <v>4200.58</v>
      </c>
      <c r="J48" s="181">
        <v>4337.4</v>
      </c>
      <c r="K48" s="181">
        <v>4485.48</v>
      </c>
      <c r="L48" s="181">
        <v>4599.98</v>
      </c>
      <c r="M48" s="181">
        <v>4667.26</v>
      </c>
      <c r="N48" s="181">
        <v>4719.9</v>
      </c>
      <c r="O48" s="181">
        <v>4763.94</v>
      </c>
      <c r="P48" s="181">
        <v>4762.18</v>
      </c>
      <c r="Q48" s="181">
        <v>4955.79</v>
      </c>
      <c r="R48" s="181">
        <v>5224.43</v>
      </c>
      <c r="S48" s="181">
        <v>5304.63</v>
      </c>
      <c r="T48" s="181">
        <v>5369.96</v>
      </c>
      <c r="U48" s="181">
        <v>5652.65</v>
      </c>
      <c r="V48" s="181">
        <v>5909.18</v>
      </c>
      <c r="W48" s="181">
        <v>5981.26</v>
      </c>
      <c r="X48" s="181">
        <v>5999.65</v>
      </c>
      <c r="Y48" s="181">
        <v>6221.07</v>
      </c>
      <c r="Z48" s="181">
        <v>6477.21</v>
      </c>
      <c r="AA48" s="181">
        <v>6782.21</v>
      </c>
      <c r="AB48" s="182">
        <v>6971.96</v>
      </c>
      <c r="AC48" s="194">
        <v>7494.32</v>
      </c>
      <c r="AD48" s="174">
        <v>8022.285000000003</v>
      </c>
      <c r="AE48" s="174">
        <v>8389.66</v>
      </c>
      <c r="AH48" s="26">
        <v>11</v>
      </c>
      <c r="AI48" s="4">
        <v>1988</v>
      </c>
    </row>
    <row r="49" spans="1:35" ht="12.75">
      <c r="A49">
        <v>13</v>
      </c>
      <c r="B49" s="4" t="s">
        <v>26</v>
      </c>
      <c r="C49" s="177">
        <v>3421.25</v>
      </c>
      <c r="D49" s="181">
        <v>3638.81</v>
      </c>
      <c r="E49" s="181">
        <v>4102.37</v>
      </c>
      <c r="F49" s="181">
        <v>4530.96</v>
      </c>
      <c r="G49" s="181">
        <v>4934.14</v>
      </c>
      <c r="H49" s="181">
        <v>5063.89</v>
      </c>
      <c r="I49" s="181">
        <v>5259.93</v>
      </c>
      <c r="J49" s="181">
        <v>5446.69</v>
      </c>
      <c r="K49" s="181">
        <v>5452.2</v>
      </c>
      <c r="L49" s="181">
        <v>5474.14</v>
      </c>
      <c r="M49" s="181">
        <v>5770.84</v>
      </c>
      <c r="N49" s="181">
        <v>5789.77</v>
      </c>
      <c r="O49" s="181">
        <v>5994.55</v>
      </c>
      <c r="P49" s="181">
        <v>6090.12</v>
      </c>
      <c r="Q49" s="181">
        <v>6348.55</v>
      </c>
      <c r="R49" s="181">
        <v>6477.84</v>
      </c>
      <c r="S49" s="181">
        <v>6532.95</v>
      </c>
      <c r="T49" s="181">
        <v>6526.22</v>
      </c>
      <c r="U49" s="181">
        <v>6558.44</v>
      </c>
      <c r="V49" s="181">
        <v>6663.55</v>
      </c>
      <c r="W49" s="181">
        <v>6851.95</v>
      </c>
      <c r="X49" s="181">
        <v>6825.97</v>
      </c>
      <c r="Y49" s="181">
        <v>7068.04</v>
      </c>
      <c r="Z49" s="181">
        <v>7226.92</v>
      </c>
      <c r="AA49" s="181">
        <v>7402.75</v>
      </c>
      <c r="AB49" s="182">
        <v>7531.77</v>
      </c>
      <c r="AC49" s="194">
        <v>7899.48</v>
      </c>
      <c r="AD49" s="174">
        <v>8330.105833333333</v>
      </c>
      <c r="AE49" s="174">
        <v>8559.83</v>
      </c>
      <c r="AH49" s="26">
        <v>12</v>
      </c>
      <c r="AI49" s="4">
        <v>1989</v>
      </c>
    </row>
    <row r="50" spans="1:35" ht="12.75">
      <c r="A50">
        <v>14</v>
      </c>
      <c r="B50" s="4" t="s">
        <v>27</v>
      </c>
      <c r="C50" s="177">
        <v>2902.6</v>
      </c>
      <c r="D50" s="181">
        <v>3154.37</v>
      </c>
      <c r="E50" s="181">
        <v>3238.86</v>
      </c>
      <c r="F50" s="181">
        <v>3612.6</v>
      </c>
      <c r="G50" s="181">
        <v>3924.98</v>
      </c>
      <c r="H50" s="181">
        <v>4322.45</v>
      </c>
      <c r="I50" s="181">
        <v>4209.93</v>
      </c>
      <c r="J50" s="181">
        <v>4303.33</v>
      </c>
      <c r="K50" s="181">
        <v>4406.75</v>
      </c>
      <c r="L50" s="181">
        <v>4494.16</v>
      </c>
      <c r="M50" s="181">
        <v>4582.99</v>
      </c>
      <c r="N50" s="181">
        <v>4804.75</v>
      </c>
      <c r="O50" s="181">
        <v>4798.61</v>
      </c>
      <c r="P50" s="181">
        <v>4932.67</v>
      </c>
      <c r="Q50" s="181">
        <v>5133.25</v>
      </c>
      <c r="R50" s="181">
        <v>5395.05</v>
      </c>
      <c r="S50" s="181">
        <v>5776.85</v>
      </c>
      <c r="T50" s="181">
        <v>5909.05</v>
      </c>
      <c r="U50" s="181">
        <v>6298.52</v>
      </c>
      <c r="V50" s="181">
        <v>6434.11</v>
      </c>
      <c r="W50" s="181">
        <v>6628.38</v>
      </c>
      <c r="X50" s="181">
        <v>6878.53</v>
      </c>
      <c r="Y50" s="181">
        <v>6995.02</v>
      </c>
      <c r="Z50" s="181">
        <v>7317.41</v>
      </c>
      <c r="AA50" s="181">
        <v>7620.66</v>
      </c>
      <c r="AB50" s="182">
        <v>7999.46</v>
      </c>
      <c r="AC50" s="194">
        <v>8329.93</v>
      </c>
      <c r="AD50" s="174">
        <v>8858.564999999999</v>
      </c>
      <c r="AE50" s="174">
        <v>9024.095000000001</v>
      </c>
      <c r="AH50" s="26">
        <v>13</v>
      </c>
      <c r="AI50" s="4">
        <v>1990</v>
      </c>
    </row>
    <row r="51" spans="1:35" ht="12.75">
      <c r="A51">
        <v>15</v>
      </c>
      <c r="B51" s="4" t="s">
        <v>28</v>
      </c>
      <c r="C51" s="178">
        <v>2346.65</v>
      </c>
      <c r="D51" s="182">
        <v>2693.75</v>
      </c>
      <c r="E51" s="182">
        <v>2792.99</v>
      </c>
      <c r="F51" s="182">
        <v>3087.99</v>
      </c>
      <c r="G51" s="182">
        <v>3294.66</v>
      </c>
      <c r="H51" s="182">
        <v>3444.58</v>
      </c>
      <c r="I51" s="182">
        <v>3427.64</v>
      </c>
      <c r="J51" s="182">
        <v>3411.86</v>
      </c>
      <c r="K51" s="182">
        <v>3513.96</v>
      </c>
      <c r="L51" s="182">
        <v>3572.49</v>
      </c>
      <c r="M51" s="182">
        <v>3571.19</v>
      </c>
      <c r="N51" s="182">
        <v>3590.13</v>
      </c>
      <c r="O51" s="182">
        <v>3602.41</v>
      </c>
      <c r="P51" s="182">
        <v>3638.65</v>
      </c>
      <c r="Q51" s="182">
        <v>3730.37</v>
      </c>
      <c r="R51" s="182">
        <v>3764.21</v>
      </c>
      <c r="S51" s="182">
        <v>3831.08</v>
      </c>
      <c r="T51" s="182">
        <v>3833.36</v>
      </c>
      <c r="U51" s="182">
        <v>3973.26</v>
      </c>
      <c r="V51" s="181">
        <v>4013.79</v>
      </c>
      <c r="W51" s="182">
        <v>3994.93</v>
      </c>
      <c r="X51" s="182">
        <v>3945.01</v>
      </c>
      <c r="Y51" s="182">
        <v>4016.26</v>
      </c>
      <c r="Z51" s="182">
        <v>3984.38</v>
      </c>
      <c r="AA51" s="182">
        <v>3906.42</v>
      </c>
      <c r="AB51" s="188">
        <v>3899.73</v>
      </c>
      <c r="AC51" s="194">
        <v>4257.45</v>
      </c>
      <c r="AD51" s="174">
        <v>4390.995833333333</v>
      </c>
      <c r="AE51" s="174">
        <v>4451.805</v>
      </c>
      <c r="AH51" s="26">
        <v>14</v>
      </c>
      <c r="AI51" s="4">
        <v>1991</v>
      </c>
    </row>
    <row r="52" spans="1:35" ht="12.75">
      <c r="A52">
        <v>16</v>
      </c>
      <c r="B52" s="4" t="s">
        <v>29</v>
      </c>
      <c r="C52" s="179">
        <v>3325.43</v>
      </c>
      <c r="D52" s="175">
        <v>3580.5</v>
      </c>
      <c r="E52" s="175">
        <v>3774.64</v>
      </c>
      <c r="F52" s="175">
        <v>4125.68</v>
      </c>
      <c r="G52" s="175">
        <v>4553.93</v>
      </c>
      <c r="H52" s="175">
        <v>4887.55</v>
      </c>
      <c r="I52" s="175">
        <v>5160.95</v>
      </c>
      <c r="J52" s="175">
        <v>5388.08</v>
      </c>
      <c r="K52" s="175">
        <v>5621.15</v>
      </c>
      <c r="L52" s="175">
        <v>5961.27</v>
      </c>
      <c r="M52" s="175">
        <v>6231.12</v>
      </c>
      <c r="N52" s="175">
        <v>6453.56</v>
      </c>
      <c r="O52" s="175">
        <v>6846.49</v>
      </c>
      <c r="P52" s="175">
        <v>7110.37</v>
      </c>
      <c r="Q52" s="175">
        <v>7367.49</v>
      </c>
      <c r="R52" s="175">
        <v>7737.11</v>
      </c>
      <c r="S52" s="175">
        <v>8117.64</v>
      </c>
      <c r="T52" s="175">
        <v>8378.68</v>
      </c>
      <c r="U52" s="175">
        <v>8554.47</v>
      </c>
      <c r="V52" s="185">
        <v>8742.88</v>
      </c>
      <c r="W52" s="175">
        <v>8899.59</v>
      </c>
      <c r="X52" s="175">
        <v>9355.77</v>
      </c>
      <c r="Y52" s="175">
        <v>9379.14</v>
      </c>
      <c r="Z52" s="175">
        <v>10101.24</v>
      </c>
      <c r="AA52" s="175">
        <v>10009.06</v>
      </c>
      <c r="AB52" s="184">
        <v>10386.73</v>
      </c>
      <c r="AC52" s="194">
        <v>11279.53</v>
      </c>
      <c r="AD52" s="174">
        <v>11810.41</v>
      </c>
      <c r="AE52" s="174">
        <v>11993.7125</v>
      </c>
      <c r="AH52" s="26">
        <v>15</v>
      </c>
      <c r="AI52" s="4">
        <v>1992</v>
      </c>
    </row>
    <row r="53" spans="1:35" ht="12.75">
      <c r="A53">
        <v>17</v>
      </c>
      <c r="B53" s="4" t="s">
        <v>30</v>
      </c>
      <c r="C53" s="176">
        <v>2839.24</v>
      </c>
      <c r="D53" s="183">
        <v>3183.93</v>
      </c>
      <c r="E53" s="183">
        <v>3233.59</v>
      </c>
      <c r="F53" s="183">
        <v>3603.48</v>
      </c>
      <c r="G53" s="183">
        <v>3858.5</v>
      </c>
      <c r="H53" s="183">
        <v>4175.74</v>
      </c>
      <c r="I53" s="183">
        <v>4437.81</v>
      </c>
      <c r="J53" s="183">
        <v>4549.62</v>
      </c>
      <c r="K53" s="183">
        <v>4678.78</v>
      </c>
      <c r="L53" s="183">
        <v>4883.56</v>
      </c>
      <c r="M53" s="183">
        <v>5064.2</v>
      </c>
      <c r="N53" s="183">
        <v>5299.78</v>
      </c>
      <c r="O53" s="183">
        <v>5431.26</v>
      </c>
      <c r="P53" s="183">
        <v>5616.96</v>
      </c>
      <c r="Q53" s="183">
        <v>5682.35</v>
      </c>
      <c r="R53" s="183">
        <v>6022.23</v>
      </c>
      <c r="S53" s="183">
        <v>6224.86</v>
      </c>
      <c r="T53" s="183">
        <v>6431</v>
      </c>
      <c r="U53" s="183">
        <v>6599.25</v>
      </c>
      <c r="V53" s="181">
        <v>7057.36</v>
      </c>
      <c r="W53" s="183">
        <v>7297.87</v>
      </c>
      <c r="X53" s="183">
        <v>7487.01</v>
      </c>
      <c r="Y53" s="183">
        <v>7600.26</v>
      </c>
      <c r="Z53" s="183">
        <v>7960.76</v>
      </c>
      <c r="AA53" s="183">
        <v>8226.27</v>
      </c>
      <c r="AB53" s="193">
        <v>8403.02</v>
      </c>
      <c r="AC53" s="194">
        <v>8701.1</v>
      </c>
      <c r="AD53" s="174">
        <v>8743.06833333333</v>
      </c>
      <c r="AE53" s="174">
        <v>9209.1</v>
      </c>
      <c r="AH53" s="26">
        <v>16</v>
      </c>
      <c r="AI53" s="4">
        <v>1993</v>
      </c>
    </row>
    <row r="54" spans="1:35" ht="12.75">
      <c r="A54">
        <v>18</v>
      </c>
      <c r="B54" s="4" t="s">
        <v>31</v>
      </c>
      <c r="C54" s="177">
        <v>2945.44</v>
      </c>
      <c r="D54" s="181">
        <v>3180.57</v>
      </c>
      <c r="E54" s="181">
        <v>3383.37</v>
      </c>
      <c r="F54" s="181">
        <v>3653.46</v>
      </c>
      <c r="G54" s="181">
        <v>3894.97</v>
      </c>
      <c r="H54" s="181">
        <v>4077.51</v>
      </c>
      <c r="I54" s="181">
        <v>4234.49</v>
      </c>
      <c r="J54" s="181">
        <v>4208.63</v>
      </c>
      <c r="K54" s="181">
        <v>4280.39</v>
      </c>
      <c r="L54" s="181">
        <v>4311.93</v>
      </c>
      <c r="M54" s="181">
        <v>4331.7</v>
      </c>
      <c r="N54" s="181">
        <v>4425.57</v>
      </c>
      <c r="O54" s="181">
        <v>4580.56</v>
      </c>
      <c r="P54" s="181">
        <v>4696.93</v>
      </c>
      <c r="Q54" s="181">
        <v>4988.38</v>
      </c>
      <c r="R54" s="181">
        <v>5287.87</v>
      </c>
      <c r="S54" s="181">
        <v>5485.79</v>
      </c>
      <c r="T54" s="181">
        <v>5648.52</v>
      </c>
      <c r="U54" s="181">
        <v>5984.29</v>
      </c>
      <c r="V54" s="181">
        <v>5889.15</v>
      </c>
      <c r="W54" s="181">
        <v>5976.05</v>
      </c>
      <c r="X54" s="181">
        <v>6068.33</v>
      </c>
      <c r="Y54" s="181">
        <v>6198.9</v>
      </c>
      <c r="Z54" s="181">
        <v>6252.6</v>
      </c>
      <c r="AA54" s="181">
        <v>6419.37</v>
      </c>
      <c r="AB54" s="188">
        <v>6512.58</v>
      </c>
      <c r="AC54" s="194">
        <v>6884.92</v>
      </c>
      <c r="AD54" s="174">
        <v>7035.583333333335</v>
      </c>
      <c r="AE54" s="174">
        <v>7248.39</v>
      </c>
      <c r="AH54" s="26">
        <v>17</v>
      </c>
      <c r="AI54" s="4">
        <v>1994</v>
      </c>
    </row>
    <row r="55" spans="1:35" ht="12.75">
      <c r="A55">
        <v>19</v>
      </c>
      <c r="B55" s="4" t="s">
        <v>32</v>
      </c>
      <c r="C55" s="177">
        <v>3412.2</v>
      </c>
      <c r="D55" s="181">
        <v>3806.14</v>
      </c>
      <c r="E55" s="181">
        <v>4371.96</v>
      </c>
      <c r="F55" s="181">
        <v>4592.45</v>
      </c>
      <c r="G55" s="181">
        <v>4993.3</v>
      </c>
      <c r="H55" s="181">
        <v>5122.74</v>
      </c>
      <c r="I55" s="181">
        <v>5049.13</v>
      </c>
      <c r="J55" s="181">
        <v>5055.04</v>
      </c>
      <c r="K55" s="181">
        <v>5508.43</v>
      </c>
      <c r="L55" s="181">
        <v>5732.37</v>
      </c>
      <c r="M55" s="181">
        <v>5734.48</v>
      </c>
      <c r="N55" s="181">
        <v>5932.57</v>
      </c>
      <c r="O55" s="181">
        <v>6055.61</v>
      </c>
      <c r="P55" s="181">
        <v>6222.06</v>
      </c>
      <c r="Q55" s="181">
        <v>6294.84</v>
      </c>
      <c r="R55" s="181">
        <v>6477.95</v>
      </c>
      <c r="S55" s="181">
        <v>6530.35</v>
      </c>
      <c r="T55" s="181">
        <v>6558.16</v>
      </c>
      <c r="U55" s="181">
        <v>6629.61</v>
      </c>
      <c r="V55" s="181">
        <v>6731.08</v>
      </c>
      <c r="W55" s="181">
        <v>6845.59</v>
      </c>
      <c r="X55" s="181">
        <v>6816.7</v>
      </c>
      <c r="Y55" s="181">
        <v>7447.99</v>
      </c>
      <c r="Z55" s="181">
        <v>7399.07</v>
      </c>
      <c r="AA55" s="181">
        <v>7644.46</v>
      </c>
      <c r="AB55" s="188">
        <v>7788.8</v>
      </c>
      <c r="AC55" s="194">
        <v>8091.66</v>
      </c>
      <c r="AD55" s="174">
        <v>8298.838333333331</v>
      </c>
      <c r="AE55" s="174">
        <v>8452.692500000001</v>
      </c>
      <c r="AH55" s="26">
        <v>18</v>
      </c>
      <c r="AI55" s="4">
        <v>1995</v>
      </c>
    </row>
    <row r="56" spans="1:35" ht="12.75">
      <c r="A56">
        <v>20</v>
      </c>
      <c r="B56" s="4" t="s">
        <v>33</v>
      </c>
      <c r="C56" s="177">
        <v>3197</v>
      </c>
      <c r="D56" s="181">
        <v>3497.64</v>
      </c>
      <c r="E56" s="181">
        <v>3909.16</v>
      </c>
      <c r="F56" s="181">
        <v>4230.36</v>
      </c>
      <c r="G56" s="181">
        <v>4490.38</v>
      </c>
      <c r="H56" s="181">
        <v>4559.55</v>
      </c>
      <c r="I56" s="181">
        <v>4546.01</v>
      </c>
      <c r="J56" s="181">
        <v>4563.1</v>
      </c>
      <c r="K56" s="181">
        <v>4585.4</v>
      </c>
      <c r="L56" s="181">
        <v>4684.28</v>
      </c>
      <c r="M56" s="181">
        <v>4738.35</v>
      </c>
      <c r="N56" s="181">
        <v>4898.01</v>
      </c>
      <c r="O56" s="181">
        <v>4933.39</v>
      </c>
      <c r="P56" s="181">
        <v>5120.63</v>
      </c>
      <c r="Q56" s="181">
        <v>5320.37</v>
      </c>
      <c r="R56" s="181">
        <v>5630.25</v>
      </c>
      <c r="S56" s="181">
        <v>5818.49</v>
      </c>
      <c r="T56" s="181">
        <v>5924.09</v>
      </c>
      <c r="U56" s="181">
        <v>6086.77</v>
      </c>
      <c r="V56" s="181">
        <v>6639.85</v>
      </c>
      <c r="W56" s="181">
        <v>6957.81</v>
      </c>
      <c r="X56" s="181">
        <v>7137.17</v>
      </c>
      <c r="Y56" s="181">
        <v>7368.25</v>
      </c>
      <c r="Z56" s="181">
        <v>7335.24</v>
      </c>
      <c r="AA56" s="181">
        <v>7561.98</v>
      </c>
      <c r="AB56" s="188">
        <v>7866.58</v>
      </c>
      <c r="AC56" s="194">
        <v>8014.67</v>
      </c>
      <c r="AD56" s="174">
        <v>8264.5875</v>
      </c>
      <c r="AE56" s="174">
        <v>8454.43</v>
      </c>
      <c r="AH56" s="26">
        <v>19</v>
      </c>
      <c r="AI56" s="4">
        <v>1996</v>
      </c>
    </row>
    <row r="57" spans="1:35" ht="12.75">
      <c r="A57">
        <v>21</v>
      </c>
      <c r="B57" s="16" t="s">
        <v>34</v>
      </c>
      <c r="C57" s="178">
        <v>3105.71</v>
      </c>
      <c r="D57" s="182">
        <v>3344.2</v>
      </c>
      <c r="E57" s="182">
        <v>3578.4</v>
      </c>
      <c r="F57" s="182">
        <v>3834.64</v>
      </c>
      <c r="G57" s="182">
        <v>4107.49</v>
      </c>
      <c r="H57" s="182">
        <v>4325.69</v>
      </c>
      <c r="I57" s="182">
        <v>4511.37</v>
      </c>
      <c r="J57" s="182">
        <v>4733.37</v>
      </c>
      <c r="K57" s="182">
        <v>4827.92</v>
      </c>
      <c r="L57" s="182">
        <v>5056.78</v>
      </c>
      <c r="M57" s="182">
        <v>5061.56</v>
      </c>
      <c r="N57" s="182">
        <v>5132.97</v>
      </c>
      <c r="O57" s="182">
        <v>5090.94</v>
      </c>
      <c r="P57" s="182">
        <v>5172.41</v>
      </c>
      <c r="Q57" s="182">
        <v>5315.67</v>
      </c>
      <c r="R57" s="182">
        <v>5765.31</v>
      </c>
      <c r="S57" s="182">
        <v>5947.05</v>
      </c>
      <c r="T57" s="182">
        <v>6053.67</v>
      </c>
      <c r="U57" s="182">
        <v>6302.04</v>
      </c>
      <c r="V57" s="182">
        <v>6474.56</v>
      </c>
      <c r="W57" s="182">
        <v>6598.82</v>
      </c>
      <c r="X57" s="182">
        <v>6806.23</v>
      </c>
      <c r="Y57" s="182">
        <v>6851.3</v>
      </c>
      <c r="Z57" s="182">
        <v>7047.92</v>
      </c>
      <c r="AA57" s="182">
        <v>7197.19</v>
      </c>
      <c r="AB57" s="188">
        <v>7414.09</v>
      </c>
      <c r="AC57" s="194">
        <v>7797.3</v>
      </c>
      <c r="AD57" s="174">
        <v>8181.543333333332</v>
      </c>
      <c r="AE57" s="174">
        <v>8479.26</v>
      </c>
      <c r="AH57" s="26">
        <v>20</v>
      </c>
      <c r="AI57" s="4">
        <v>1997</v>
      </c>
    </row>
    <row r="58" spans="1:35" ht="25.5">
      <c r="A58">
        <v>22</v>
      </c>
      <c r="B58" s="3" t="s">
        <v>46</v>
      </c>
      <c r="C58" s="30">
        <v>2776</v>
      </c>
      <c r="D58" s="5">
        <v>3003</v>
      </c>
      <c r="E58" s="5">
        <v>3237</v>
      </c>
      <c r="F58" s="5">
        <v>3535</v>
      </c>
      <c r="G58" s="5">
        <v>3825</v>
      </c>
      <c r="H58" s="5">
        <v>4066</v>
      </c>
      <c r="I58" s="5">
        <v>4146</v>
      </c>
      <c r="J58" s="5">
        <v>4195</v>
      </c>
      <c r="K58" s="5">
        <v>4295</v>
      </c>
      <c r="L58" s="5">
        <v>4406</v>
      </c>
      <c r="M58" s="5">
        <v>4519</v>
      </c>
      <c r="N58" s="5">
        <v>4615</v>
      </c>
      <c r="O58" s="5">
        <v>4732</v>
      </c>
      <c r="P58" s="5">
        <v>4835</v>
      </c>
      <c r="Q58" s="5">
        <v>4985</v>
      </c>
      <c r="R58" s="5">
        <v>5210</v>
      </c>
      <c r="S58" s="5">
        <v>5408</v>
      </c>
      <c r="T58" s="5">
        <v>5471</v>
      </c>
      <c r="U58" s="5">
        <v>5620</v>
      </c>
      <c r="V58" s="5">
        <v>5826</v>
      </c>
      <c r="W58" s="5">
        <v>5920</v>
      </c>
      <c r="X58" s="5">
        <v>6059</v>
      </c>
      <c r="Y58" s="5">
        <v>6221</v>
      </c>
      <c r="Z58" s="5">
        <v>6343</v>
      </c>
      <c r="AA58" s="5">
        <v>6538</v>
      </c>
      <c r="AB58" s="5">
        <v>6694</v>
      </c>
      <c r="AC58" s="15">
        <v>7115</v>
      </c>
      <c r="AD58" s="173">
        <v>7443.72</v>
      </c>
      <c r="AE58" s="173">
        <v>7684.07975</v>
      </c>
      <c r="AH58" s="26">
        <v>21</v>
      </c>
      <c r="AI58" s="4">
        <v>1998</v>
      </c>
    </row>
    <row r="59" spans="1:35" ht="25.5">
      <c r="A59">
        <v>23</v>
      </c>
      <c r="B59" s="31" t="s">
        <v>47</v>
      </c>
      <c r="C59" s="15" t="s">
        <v>37</v>
      </c>
      <c r="D59" s="15" t="s">
        <v>37</v>
      </c>
      <c r="E59" s="15" t="s">
        <v>37</v>
      </c>
      <c r="F59" s="15" t="s">
        <v>37</v>
      </c>
      <c r="G59" s="15" t="s">
        <v>37</v>
      </c>
      <c r="H59" s="20">
        <v>1650.75</v>
      </c>
      <c r="I59" s="20">
        <v>1620.8333333333333</v>
      </c>
      <c r="J59" s="20">
        <v>1617.0833333333333</v>
      </c>
      <c r="K59" s="20">
        <v>1634.1666666666667</v>
      </c>
      <c r="L59" s="20">
        <v>1659</v>
      </c>
      <c r="M59" s="20">
        <v>1694</v>
      </c>
      <c r="N59" s="20">
        <v>1693.3333333333333</v>
      </c>
      <c r="O59" s="20">
        <v>1720.1666666666667</v>
      </c>
      <c r="P59" s="20">
        <v>1708.8333333333333</v>
      </c>
      <c r="Q59" s="20">
        <v>1760.9166666666667</v>
      </c>
      <c r="R59" s="20">
        <v>1953.1666666666667</v>
      </c>
      <c r="S59" s="20">
        <v>2068.1666666666665</v>
      </c>
      <c r="T59" s="20">
        <v>1992.8333333333333</v>
      </c>
      <c r="U59" s="20">
        <v>2045.8333333333333</v>
      </c>
      <c r="V59" s="20">
        <v>2225.9166666666665</v>
      </c>
      <c r="W59" s="20">
        <v>2179.25</v>
      </c>
      <c r="X59" s="20">
        <v>2184.0833333333335</v>
      </c>
      <c r="Y59" s="20">
        <v>2195.0833333333335</v>
      </c>
      <c r="Z59" s="20">
        <v>2112.8333333333335</v>
      </c>
      <c r="AA59" s="20">
        <v>2043.6666666666667</v>
      </c>
      <c r="AB59" s="20">
        <v>1980.75</v>
      </c>
      <c r="AC59" s="20">
        <v>2295.8333333333335</v>
      </c>
      <c r="AD59" s="15"/>
      <c r="AH59" s="26">
        <v>22</v>
      </c>
      <c r="AI59" s="4">
        <v>1999</v>
      </c>
    </row>
    <row r="60" spans="1:35" ht="25.5">
      <c r="A60">
        <v>24</v>
      </c>
      <c r="B60" s="31" t="s">
        <v>48</v>
      </c>
      <c r="C60" s="15" t="s">
        <v>37</v>
      </c>
      <c r="D60" s="15" t="s">
        <v>37</v>
      </c>
      <c r="E60" s="15" t="s">
        <v>37</v>
      </c>
      <c r="F60" s="15" t="s">
        <v>37</v>
      </c>
      <c r="G60" s="15" t="s">
        <v>37</v>
      </c>
      <c r="H60" s="15" t="s">
        <v>37</v>
      </c>
      <c r="I60" s="15" t="s">
        <v>37</v>
      </c>
      <c r="J60" s="15" t="s">
        <v>37</v>
      </c>
      <c r="K60" s="15" t="s">
        <v>37</v>
      </c>
      <c r="L60" s="15" t="s">
        <v>37</v>
      </c>
      <c r="M60" s="15" t="s">
        <v>37</v>
      </c>
      <c r="N60" s="15" t="s">
        <v>37</v>
      </c>
      <c r="O60" s="20">
        <v>9645.75</v>
      </c>
      <c r="P60" s="20">
        <v>9935.166666666666</v>
      </c>
      <c r="Q60" s="20">
        <v>10243.416666666666</v>
      </c>
      <c r="R60" s="20">
        <v>10524.75</v>
      </c>
      <c r="S60" s="20">
        <v>10855.916666666666</v>
      </c>
      <c r="T60" s="20">
        <v>11146.25</v>
      </c>
      <c r="U60" s="20">
        <v>11443.833333333334</v>
      </c>
      <c r="V60" s="20">
        <v>11697.333333333334</v>
      </c>
      <c r="W60" s="20">
        <v>12024.416666666666</v>
      </c>
      <c r="X60" s="20">
        <v>12382.583333333334</v>
      </c>
      <c r="Y60" s="20">
        <v>12789.666666666666</v>
      </c>
      <c r="Z60" s="20">
        <v>13242.25</v>
      </c>
      <c r="AA60" s="20">
        <v>13870.666666666666</v>
      </c>
      <c r="AB60" s="20">
        <v>14385.666666666666</v>
      </c>
      <c r="AC60" s="20">
        <v>14977.583333333334</v>
      </c>
      <c r="AD60" s="15"/>
      <c r="AH60" s="26">
        <v>23</v>
      </c>
      <c r="AI60" s="4">
        <v>2000</v>
      </c>
    </row>
    <row r="61" spans="2:35" ht="25.5">
      <c r="B61" s="68" t="s">
        <v>49</v>
      </c>
      <c r="C61" s="15">
        <v>1654</v>
      </c>
      <c r="D61" s="15">
        <v>1919</v>
      </c>
      <c r="E61" s="15">
        <v>1941</v>
      </c>
      <c r="F61" s="15">
        <v>2097</v>
      </c>
      <c r="G61" s="15">
        <v>2234</v>
      </c>
      <c r="H61" s="15">
        <v>2384</v>
      </c>
      <c r="I61" s="15">
        <v>2417</v>
      </c>
      <c r="J61" s="15">
        <v>2428</v>
      </c>
      <c r="K61" s="15">
        <v>2483</v>
      </c>
      <c r="L61" s="15">
        <v>2541</v>
      </c>
      <c r="M61" s="15">
        <v>2598</v>
      </c>
      <c r="N61" s="15">
        <v>2634</v>
      </c>
      <c r="O61" s="15">
        <v>2702</v>
      </c>
      <c r="P61" s="15">
        <v>2751</v>
      </c>
      <c r="Q61" s="15">
        <v>2834</v>
      </c>
      <c r="R61" s="15">
        <v>2996</v>
      </c>
      <c r="S61" s="15">
        <v>3111</v>
      </c>
      <c r="T61" s="15">
        <v>3111</v>
      </c>
      <c r="U61" s="15">
        <v>3203</v>
      </c>
      <c r="V61" s="15">
        <v>3364</v>
      </c>
      <c r="W61" s="15">
        <v>3391</v>
      </c>
      <c r="X61" s="15">
        <v>3456</v>
      </c>
      <c r="Y61" s="15">
        <v>3539</v>
      </c>
      <c r="Z61" s="15">
        <v>3574</v>
      </c>
      <c r="AA61" s="15">
        <v>3623</v>
      </c>
      <c r="AB61" s="15">
        <v>3693</v>
      </c>
      <c r="AC61" s="15">
        <v>3984</v>
      </c>
      <c r="AD61" s="15"/>
      <c r="AH61" s="26">
        <v>24</v>
      </c>
      <c r="AI61" s="4">
        <v>2001</v>
      </c>
    </row>
    <row r="62" spans="34:35" ht="12.75">
      <c r="AH62" s="26">
        <v>25</v>
      </c>
      <c r="AI62" s="4">
        <v>2002</v>
      </c>
    </row>
    <row r="63" spans="34:35" ht="12.75">
      <c r="AH63" s="26">
        <v>26</v>
      </c>
      <c r="AI63" s="4">
        <v>2003</v>
      </c>
    </row>
    <row r="64" spans="34:35" ht="12.75">
      <c r="AH64" s="26">
        <v>27</v>
      </c>
      <c r="AI64" s="4">
        <v>2004</v>
      </c>
    </row>
    <row r="65" spans="34:35" ht="12.75">
      <c r="AH65" s="26">
        <v>28</v>
      </c>
      <c r="AI65" s="18">
        <v>2005</v>
      </c>
    </row>
    <row r="66" spans="34:35" ht="12.75">
      <c r="AH66" s="26">
        <v>29</v>
      </c>
      <c r="AI66" s="166">
        <v>2006</v>
      </c>
    </row>
  </sheetData>
  <sheetProtection selectLockedCells="1"/>
  <mergeCells count="1">
    <mergeCell ref="C1:V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Y64"/>
  <sheetViews>
    <sheetView workbookViewId="0" topLeftCell="A37">
      <selection activeCell="A52" sqref="A52"/>
    </sheetView>
  </sheetViews>
  <sheetFormatPr defaultColWidth="9.140625" defaultRowHeight="12.75"/>
  <cols>
    <col min="2" max="2" width="22.8515625" style="0" bestFit="1" customWidth="1"/>
    <col min="3" max="3" width="21.421875" style="0" customWidth="1"/>
    <col min="4" max="4" width="15.8515625" style="0" bestFit="1" customWidth="1"/>
    <col min="5" max="5" width="11.140625" style="0" bestFit="1" customWidth="1"/>
    <col min="6" max="6" width="11.28125" style="0" bestFit="1" customWidth="1"/>
    <col min="7" max="7" width="15.140625" style="0" customWidth="1"/>
    <col min="8" max="8" width="14.140625" style="0" bestFit="1" customWidth="1"/>
    <col min="9" max="9" width="10.140625" style="0" bestFit="1" customWidth="1"/>
    <col min="10" max="10" width="11.28125" style="0" bestFit="1" customWidth="1"/>
    <col min="11" max="11" width="10.28125" style="0" bestFit="1" customWidth="1"/>
    <col min="12" max="12" width="15.7109375" style="0" bestFit="1" customWidth="1"/>
    <col min="13" max="13" width="15.8515625" style="0" bestFit="1" customWidth="1"/>
    <col min="14" max="14" width="16.140625" style="0" bestFit="1" customWidth="1"/>
    <col min="15" max="15" width="16.28125" style="0" bestFit="1" customWidth="1"/>
    <col min="16" max="16" width="13.28125" style="0" bestFit="1" customWidth="1"/>
    <col min="17" max="17" width="16.421875" style="0" bestFit="1" customWidth="1"/>
    <col min="18" max="18" width="14.00390625" style="0" bestFit="1" customWidth="1"/>
    <col min="19" max="19" width="17.8515625" style="0" bestFit="1" customWidth="1"/>
    <col min="20" max="20" width="11.7109375" style="0" bestFit="1" customWidth="1"/>
    <col min="21" max="21" width="12.421875" style="0" bestFit="1" customWidth="1"/>
    <col min="22" max="22" width="15.7109375" style="0" bestFit="1" customWidth="1"/>
    <col min="23" max="23" width="20.57421875" style="0" bestFit="1" customWidth="1"/>
    <col min="24" max="24" width="20.140625" style="0" bestFit="1" customWidth="1"/>
    <col min="25" max="25" width="18.57421875" style="0" bestFit="1" customWidth="1"/>
  </cols>
  <sheetData>
    <row r="1" spans="1:25" ht="12.75">
      <c r="A1" s="4" t="s">
        <v>14</v>
      </c>
      <c r="B1" s="221" t="s">
        <v>35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3"/>
      <c r="V1" s="17" t="s">
        <v>41</v>
      </c>
      <c r="W1" s="17" t="s">
        <v>42</v>
      </c>
      <c r="X1" s="17" t="s">
        <v>44</v>
      </c>
      <c r="Y1" s="21" t="s">
        <v>39</v>
      </c>
    </row>
    <row r="2" spans="1:25" ht="12.75">
      <c r="A2" s="10"/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  <c r="O2" s="4" t="s">
        <v>28</v>
      </c>
      <c r="P2" s="4" t="s">
        <v>29</v>
      </c>
      <c r="Q2" s="4" t="s">
        <v>30</v>
      </c>
      <c r="R2" s="4" t="s">
        <v>31</v>
      </c>
      <c r="S2" s="4" t="s">
        <v>32</v>
      </c>
      <c r="T2" s="4" t="s">
        <v>33</v>
      </c>
      <c r="U2" s="16" t="s">
        <v>34</v>
      </c>
      <c r="V2" s="18" t="s">
        <v>40</v>
      </c>
      <c r="W2" s="19" t="s">
        <v>43</v>
      </c>
      <c r="X2" s="19" t="s">
        <v>40</v>
      </c>
      <c r="Y2" s="22" t="s">
        <v>40</v>
      </c>
    </row>
    <row r="3" spans="1:25" ht="12.75">
      <c r="A3" s="15">
        <v>1989</v>
      </c>
      <c r="B3" s="11">
        <v>3141.55</v>
      </c>
      <c r="C3" s="13">
        <v>3707.18</v>
      </c>
      <c r="D3" s="13">
        <v>3413.76</v>
      </c>
      <c r="E3" s="13">
        <v>5373.14</v>
      </c>
      <c r="F3" s="13">
        <v>4957.69</v>
      </c>
      <c r="G3" s="13">
        <v>4877.51</v>
      </c>
      <c r="H3" s="13">
        <v>5161.68</v>
      </c>
      <c r="I3" s="13">
        <v>3208.39</v>
      </c>
      <c r="J3" s="13">
        <v>3641.78</v>
      </c>
      <c r="K3" s="13">
        <v>5171.88</v>
      </c>
      <c r="L3" s="13">
        <v>4719.9</v>
      </c>
      <c r="M3" s="13">
        <v>5789.77</v>
      </c>
      <c r="N3" s="13">
        <v>4804.75</v>
      </c>
      <c r="O3" s="14">
        <v>3590.13</v>
      </c>
      <c r="P3" s="15">
        <v>6453.56</v>
      </c>
      <c r="Q3" s="11">
        <v>5299.78</v>
      </c>
      <c r="R3" s="13">
        <v>4425.57</v>
      </c>
      <c r="S3" s="13">
        <v>5932.57</v>
      </c>
      <c r="T3" s="13">
        <v>4898.01</v>
      </c>
      <c r="U3" s="14">
        <v>5132.97</v>
      </c>
      <c r="V3" s="5">
        <v>4615</v>
      </c>
      <c r="W3" s="20">
        <v>1693.3333333333333</v>
      </c>
      <c r="X3" s="15" t="s">
        <v>37</v>
      </c>
      <c r="Y3" s="15">
        <v>2634</v>
      </c>
    </row>
    <row r="4" spans="1:25" ht="12.75">
      <c r="A4" s="15">
        <v>1991</v>
      </c>
      <c r="B4" s="11">
        <v>3224.67</v>
      </c>
      <c r="C4" s="13">
        <v>3858.19</v>
      </c>
      <c r="D4" s="13">
        <v>3466.21</v>
      </c>
      <c r="E4" s="13">
        <v>5722.5</v>
      </c>
      <c r="F4" s="13">
        <v>5384.16</v>
      </c>
      <c r="G4" s="13">
        <v>5011.1</v>
      </c>
      <c r="H4" s="13">
        <v>5450.25</v>
      </c>
      <c r="I4" s="13">
        <v>3336.53</v>
      </c>
      <c r="J4" s="13">
        <v>3715.34</v>
      </c>
      <c r="K4" s="13">
        <v>5244.65</v>
      </c>
      <c r="L4" s="13">
        <v>4762.18</v>
      </c>
      <c r="M4" s="13">
        <v>6090.12</v>
      </c>
      <c r="N4" s="13">
        <v>4932.67</v>
      </c>
      <c r="O4" s="14">
        <v>3638.65</v>
      </c>
      <c r="P4" s="15">
        <v>7110.37</v>
      </c>
      <c r="Q4" s="11">
        <v>5616.96</v>
      </c>
      <c r="R4" s="13">
        <v>4696.93</v>
      </c>
      <c r="S4" s="13">
        <v>6222.06</v>
      </c>
      <c r="T4" s="13">
        <v>5120.63</v>
      </c>
      <c r="U4" s="14">
        <v>5172.41</v>
      </c>
      <c r="V4" s="5">
        <v>4835</v>
      </c>
      <c r="W4" s="20">
        <v>1708.8333333333333</v>
      </c>
      <c r="X4" s="20">
        <v>9935.166666666666</v>
      </c>
      <c r="Y4" s="15">
        <v>2751</v>
      </c>
    </row>
    <row r="5" spans="1:25" ht="12.75">
      <c r="A5" s="23">
        <v>2005</v>
      </c>
      <c r="B5" s="12">
        <v>4603.49</v>
      </c>
      <c r="C5" s="12">
        <v>5186.73</v>
      </c>
      <c r="D5" s="12">
        <v>5135.56</v>
      </c>
      <c r="E5" s="12">
        <v>8310.54</v>
      </c>
      <c r="F5" s="12">
        <v>9353.68</v>
      </c>
      <c r="G5" s="12">
        <v>7003.8</v>
      </c>
      <c r="H5" s="12">
        <v>7649.75</v>
      </c>
      <c r="I5" s="12">
        <v>4345.89</v>
      </c>
      <c r="J5" s="12">
        <v>5450.52</v>
      </c>
      <c r="K5" s="12">
        <v>8444.8</v>
      </c>
      <c r="L5" s="12">
        <v>7936.6</v>
      </c>
      <c r="M5" s="12">
        <v>8232.32</v>
      </c>
      <c r="N5" s="12">
        <v>8611.33</v>
      </c>
      <c r="O5" s="24">
        <v>4360.01</v>
      </c>
      <c r="P5" s="25">
        <v>11726.63</v>
      </c>
      <c r="Q5" s="12">
        <v>8631.64</v>
      </c>
      <c r="R5" s="25">
        <v>6981.69</v>
      </c>
      <c r="S5" s="12">
        <v>8236.56</v>
      </c>
      <c r="T5" s="12">
        <v>8171.8</v>
      </c>
      <c r="U5" s="25">
        <v>7921.41</v>
      </c>
      <c r="V5" s="5"/>
      <c r="W5" s="15"/>
      <c r="X5" s="15"/>
      <c r="Y5" s="15"/>
    </row>
    <row r="8" spans="2:7" ht="12.75">
      <c r="B8" s="4" t="s">
        <v>14</v>
      </c>
      <c r="C8" s="4" t="s">
        <v>45</v>
      </c>
      <c r="D8" s="40">
        <v>1989</v>
      </c>
      <c r="E8" s="41">
        <v>1991</v>
      </c>
      <c r="F8" s="41">
        <v>2005</v>
      </c>
      <c r="G8" s="2"/>
    </row>
    <row r="9" spans="2:6" ht="12.75">
      <c r="B9" s="226" t="s">
        <v>35</v>
      </c>
      <c r="C9" s="4" t="s">
        <v>15</v>
      </c>
      <c r="D9" s="27">
        <v>3141.55</v>
      </c>
      <c r="E9" s="12">
        <v>3224.67</v>
      </c>
      <c r="F9" s="12">
        <v>4603.49</v>
      </c>
    </row>
    <row r="10" spans="2:6" ht="12.75">
      <c r="B10" s="227"/>
      <c r="C10" s="4" t="s">
        <v>16</v>
      </c>
      <c r="D10" s="14">
        <v>3707.18</v>
      </c>
      <c r="E10" s="12">
        <v>3858.19</v>
      </c>
      <c r="F10" s="12">
        <v>5186.73</v>
      </c>
    </row>
    <row r="11" spans="2:6" ht="12.75">
      <c r="B11" s="227"/>
      <c r="C11" s="4" t="s">
        <v>17</v>
      </c>
      <c r="D11" s="14">
        <v>3413.76</v>
      </c>
      <c r="E11" s="12">
        <v>3466.21</v>
      </c>
      <c r="F11" s="12">
        <v>5135.56</v>
      </c>
    </row>
    <row r="12" spans="2:6" ht="12.75">
      <c r="B12" s="227"/>
      <c r="C12" s="4" t="s">
        <v>18</v>
      </c>
      <c r="D12" s="14">
        <v>5373.14</v>
      </c>
      <c r="E12" s="12">
        <v>5722.5</v>
      </c>
      <c r="F12" s="12">
        <v>8310.54</v>
      </c>
    </row>
    <row r="13" spans="2:6" ht="12.75">
      <c r="B13" s="227"/>
      <c r="C13" s="4" t="s">
        <v>19</v>
      </c>
      <c r="D13" s="14">
        <v>4957.69</v>
      </c>
      <c r="E13" s="12">
        <v>5384.16</v>
      </c>
      <c r="F13" s="12">
        <v>9353.68</v>
      </c>
    </row>
    <row r="14" spans="2:6" ht="12.75">
      <c r="B14" s="227"/>
      <c r="C14" s="4" t="s">
        <v>20</v>
      </c>
      <c r="D14" s="14">
        <v>4877.51</v>
      </c>
      <c r="E14" s="12">
        <v>5011.1</v>
      </c>
      <c r="F14" s="12">
        <v>7003.8</v>
      </c>
    </row>
    <row r="15" spans="2:6" ht="12.75">
      <c r="B15" s="227"/>
      <c r="C15" s="4" t="s">
        <v>21</v>
      </c>
      <c r="D15" s="14">
        <v>5161.68</v>
      </c>
      <c r="E15" s="12">
        <v>5450.25</v>
      </c>
      <c r="F15" s="12">
        <v>7649.75</v>
      </c>
    </row>
    <row r="16" spans="2:6" ht="12.75">
      <c r="B16" s="227"/>
      <c r="C16" s="4" t="s">
        <v>22</v>
      </c>
      <c r="D16" s="14">
        <v>3208.39</v>
      </c>
      <c r="E16" s="12">
        <v>3336.53</v>
      </c>
      <c r="F16" s="12">
        <v>4345.89</v>
      </c>
    </row>
    <row r="17" spans="2:6" ht="12.75">
      <c r="B17" s="227"/>
      <c r="C17" s="4" t="s">
        <v>23</v>
      </c>
      <c r="D17" s="14">
        <v>3641.78</v>
      </c>
      <c r="E17" s="12">
        <v>3715.34</v>
      </c>
      <c r="F17" s="12">
        <v>5450.52</v>
      </c>
    </row>
    <row r="18" spans="2:6" ht="12.75">
      <c r="B18" s="227"/>
      <c r="C18" s="4" t="s">
        <v>24</v>
      </c>
      <c r="D18" s="14">
        <v>5171.88</v>
      </c>
      <c r="E18" s="12">
        <v>5244.65</v>
      </c>
      <c r="F18" s="12">
        <v>8444.8</v>
      </c>
    </row>
    <row r="19" spans="2:6" ht="12.75">
      <c r="B19" s="227"/>
      <c r="C19" s="4" t="s">
        <v>25</v>
      </c>
      <c r="D19" s="14">
        <v>4719.9</v>
      </c>
      <c r="E19" s="12">
        <v>4762.18</v>
      </c>
      <c r="F19" s="12">
        <v>7936.6</v>
      </c>
    </row>
    <row r="20" spans="2:6" ht="12.75">
      <c r="B20" s="227"/>
      <c r="C20" s="4" t="s">
        <v>26</v>
      </c>
      <c r="D20" s="14">
        <v>5789.77</v>
      </c>
      <c r="E20" s="12">
        <v>6090.12</v>
      </c>
      <c r="F20" s="12">
        <v>8232.32</v>
      </c>
    </row>
    <row r="21" spans="2:6" ht="12.75">
      <c r="B21" s="227"/>
      <c r="C21" s="4" t="s">
        <v>27</v>
      </c>
      <c r="D21" s="14">
        <v>4804.75</v>
      </c>
      <c r="E21" s="12">
        <v>4932.67</v>
      </c>
      <c r="F21" s="12">
        <v>8611.33</v>
      </c>
    </row>
    <row r="22" spans="2:6" ht="12.75">
      <c r="B22" s="227"/>
      <c r="C22" s="4" t="s">
        <v>28</v>
      </c>
      <c r="D22" s="14">
        <v>3590.13</v>
      </c>
      <c r="E22" s="29">
        <v>3638.65</v>
      </c>
      <c r="F22" s="12">
        <v>4360.01</v>
      </c>
    </row>
    <row r="23" spans="2:6" ht="12.75">
      <c r="B23" s="227"/>
      <c r="C23" s="4" t="s">
        <v>29</v>
      </c>
      <c r="D23" s="5">
        <v>6453.56</v>
      </c>
      <c r="E23" s="29">
        <v>7110.37</v>
      </c>
      <c r="F23" s="12">
        <v>11726.63</v>
      </c>
    </row>
    <row r="24" spans="2:6" ht="12.75">
      <c r="B24" s="227"/>
      <c r="C24" s="4" t="s">
        <v>30</v>
      </c>
      <c r="D24" s="27">
        <v>5299.78</v>
      </c>
      <c r="E24" s="29">
        <v>5616.96</v>
      </c>
      <c r="F24" s="12">
        <v>8631.64</v>
      </c>
    </row>
    <row r="25" spans="2:6" ht="12.75">
      <c r="B25" s="227"/>
      <c r="C25" s="4" t="s">
        <v>31</v>
      </c>
      <c r="D25" s="14">
        <v>4425.57</v>
      </c>
      <c r="E25" s="29">
        <v>4696.93</v>
      </c>
      <c r="F25" s="12">
        <v>6981.69</v>
      </c>
    </row>
    <row r="26" spans="2:6" ht="12.75">
      <c r="B26" s="227"/>
      <c r="C26" s="4" t="s">
        <v>32</v>
      </c>
      <c r="D26" s="14">
        <v>5932.57</v>
      </c>
      <c r="E26" s="29">
        <v>6222.06</v>
      </c>
      <c r="F26" s="12">
        <v>8236.56</v>
      </c>
    </row>
    <row r="27" spans="2:6" ht="12.75">
      <c r="B27" s="227"/>
      <c r="C27" s="4" t="s">
        <v>33</v>
      </c>
      <c r="D27" s="14">
        <v>4898.01</v>
      </c>
      <c r="E27" s="29">
        <v>5120.63</v>
      </c>
      <c r="F27" s="12">
        <v>8171.8</v>
      </c>
    </row>
    <row r="28" spans="2:6" ht="12.75">
      <c r="B28" s="228"/>
      <c r="C28" s="16" t="s">
        <v>34</v>
      </c>
      <c r="D28" s="14">
        <v>5132.97</v>
      </c>
      <c r="E28" s="29">
        <v>5172.41</v>
      </c>
      <c r="F28" s="12">
        <v>7921.41</v>
      </c>
    </row>
    <row r="29" spans="2:6" ht="12.75">
      <c r="B29" s="17" t="s">
        <v>41</v>
      </c>
      <c r="C29" s="18" t="s">
        <v>40</v>
      </c>
      <c r="D29" s="5">
        <v>4615</v>
      </c>
      <c r="E29" s="29">
        <v>4835</v>
      </c>
      <c r="F29" s="12"/>
    </row>
    <row r="30" spans="2:6" ht="12.75">
      <c r="B30" s="17" t="s">
        <v>42</v>
      </c>
      <c r="C30" s="19" t="s">
        <v>43</v>
      </c>
      <c r="D30" s="28">
        <v>1693.3333333333333</v>
      </c>
      <c r="E30" s="29">
        <v>1708.83</v>
      </c>
      <c r="F30" s="15"/>
    </row>
    <row r="31" spans="2:6" ht="12.75">
      <c r="B31" s="17" t="s">
        <v>44</v>
      </c>
      <c r="C31" s="19" t="s">
        <v>40</v>
      </c>
      <c r="D31" s="5" t="s">
        <v>37</v>
      </c>
      <c r="E31" s="29">
        <v>9935.17</v>
      </c>
      <c r="F31" s="15"/>
    </row>
    <row r="32" spans="2:6" ht="12.75">
      <c r="B32" s="21" t="s">
        <v>39</v>
      </c>
      <c r="C32" s="22" t="s">
        <v>40</v>
      </c>
      <c r="D32" s="5">
        <v>2634</v>
      </c>
      <c r="E32" s="29">
        <v>2751</v>
      </c>
      <c r="F32" s="15"/>
    </row>
    <row r="34" spans="2:3" ht="12.75">
      <c r="B34" s="225" t="s">
        <v>14</v>
      </c>
      <c r="C34" s="224" t="s">
        <v>58</v>
      </c>
    </row>
    <row r="35" spans="2:3" ht="12.75">
      <c r="B35" s="225"/>
      <c r="C35" s="225"/>
    </row>
    <row r="36" spans="1:3" ht="12.75">
      <c r="A36" s="32">
        <v>1</v>
      </c>
      <c r="B36" s="15">
        <v>1978</v>
      </c>
      <c r="C36" s="15">
        <v>2776</v>
      </c>
    </row>
    <row r="37" spans="1:3" ht="12.75">
      <c r="A37">
        <v>2</v>
      </c>
      <c r="B37" s="15">
        <v>1979</v>
      </c>
      <c r="C37" s="15">
        <v>3003</v>
      </c>
    </row>
    <row r="38" spans="1:3" ht="12.75">
      <c r="A38">
        <v>3</v>
      </c>
      <c r="B38" s="15">
        <v>1980</v>
      </c>
      <c r="C38" s="15">
        <v>3237</v>
      </c>
    </row>
    <row r="39" spans="1:3" ht="12.75">
      <c r="A39">
        <v>4</v>
      </c>
      <c r="B39" s="15">
        <v>1981</v>
      </c>
      <c r="C39" s="15">
        <v>3535</v>
      </c>
    </row>
    <row r="40" spans="1:3" ht="12.75">
      <c r="A40">
        <v>5</v>
      </c>
      <c r="B40" s="15">
        <v>1982</v>
      </c>
      <c r="C40" s="15">
        <v>3825</v>
      </c>
    </row>
    <row r="41" spans="1:3" ht="12.75">
      <c r="A41">
        <v>6</v>
      </c>
      <c r="B41" s="15">
        <v>1983</v>
      </c>
      <c r="C41" s="15">
        <v>4066</v>
      </c>
    </row>
    <row r="42" spans="1:3" ht="12.75">
      <c r="A42">
        <v>7</v>
      </c>
      <c r="B42" s="15">
        <v>1984</v>
      </c>
      <c r="C42" s="15">
        <v>4146</v>
      </c>
    </row>
    <row r="43" spans="1:3" ht="12.75">
      <c r="A43">
        <v>8</v>
      </c>
      <c r="B43" s="15">
        <v>1985</v>
      </c>
      <c r="C43" s="15">
        <v>4195</v>
      </c>
    </row>
    <row r="44" spans="1:3" ht="12.75">
      <c r="A44">
        <v>9</v>
      </c>
      <c r="B44" s="15">
        <v>1986</v>
      </c>
      <c r="C44" s="15">
        <v>4295</v>
      </c>
    </row>
    <row r="45" spans="1:3" ht="12.75">
      <c r="A45">
        <v>10</v>
      </c>
      <c r="B45" s="15">
        <v>1987</v>
      </c>
      <c r="C45" s="15">
        <v>4406</v>
      </c>
    </row>
    <row r="46" spans="1:3" ht="12.75">
      <c r="A46">
        <v>11</v>
      </c>
      <c r="B46" s="15">
        <v>1988</v>
      </c>
      <c r="C46" s="15">
        <v>4519</v>
      </c>
    </row>
    <row r="47" spans="1:3" ht="12.75">
      <c r="A47">
        <v>12</v>
      </c>
      <c r="B47" s="15">
        <v>1989</v>
      </c>
      <c r="C47" s="15">
        <v>4615</v>
      </c>
    </row>
    <row r="48" spans="1:3" ht="12.75">
      <c r="A48">
        <v>13</v>
      </c>
      <c r="B48" s="15">
        <v>1990</v>
      </c>
      <c r="C48" s="15">
        <v>4732</v>
      </c>
    </row>
    <row r="49" spans="1:3" ht="12.75">
      <c r="A49">
        <v>14</v>
      </c>
      <c r="B49" s="15">
        <v>1991</v>
      </c>
      <c r="C49" s="15">
        <v>4835</v>
      </c>
    </row>
    <row r="50" spans="1:3" ht="12.75">
      <c r="A50">
        <v>15</v>
      </c>
      <c r="B50" s="15">
        <v>1992</v>
      </c>
      <c r="C50" s="15">
        <v>4985</v>
      </c>
    </row>
    <row r="51" spans="1:3" ht="12.75">
      <c r="A51">
        <v>16</v>
      </c>
      <c r="B51" s="15">
        <v>1993</v>
      </c>
      <c r="C51" s="15">
        <v>5210</v>
      </c>
    </row>
    <row r="52" spans="1:3" ht="12.75">
      <c r="A52">
        <v>17</v>
      </c>
      <c r="B52" s="15">
        <v>1994</v>
      </c>
      <c r="C52" s="15">
        <v>5408</v>
      </c>
    </row>
    <row r="53" spans="1:3" ht="12.75">
      <c r="A53">
        <v>18</v>
      </c>
      <c r="B53" s="15">
        <v>1995</v>
      </c>
      <c r="C53" s="15">
        <v>5471</v>
      </c>
    </row>
    <row r="54" spans="1:3" ht="12.75">
      <c r="A54">
        <v>19</v>
      </c>
      <c r="B54" s="15">
        <v>1996</v>
      </c>
      <c r="C54" s="15">
        <v>5620</v>
      </c>
    </row>
    <row r="55" spans="1:3" ht="12.75">
      <c r="A55">
        <v>20</v>
      </c>
      <c r="B55" s="15">
        <v>1997</v>
      </c>
      <c r="C55" s="15">
        <v>5826</v>
      </c>
    </row>
    <row r="56" spans="1:3" ht="12.75">
      <c r="A56">
        <v>21</v>
      </c>
      <c r="B56" s="15">
        <v>1998</v>
      </c>
      <c r="C56" s="15">
        <v>5920</v>
      </c>
    </row>
    <row r="57" spans="1:3" ht="12.75">
      <c r="A57">
        <v>22</v>
      </c>
      <c r="B57" s="15">
        <v>1999</v>
      </c>
      <c r="C57" s="15">
        <v>6059</v>
      </c>
    </row>
    <row r="58" spans="1:3" ht="12.75">
      <c r="A58">
        <v>23</v>
      </c>
      <c r="B58" s="15">
        <v>2000</v>
      </c>
      <c r="C58" s="15">
        <v>6221</v>
      </c>
    </row>
    <row r="59" spans="1:3" ht="12.75">
      <c r="A59">
        <v>24</v>
      </c>
      <c r="B59" s="15">
        <v>2001</v>
      </c>
      <c r="C59" s="15">
        <v>6343</v>
      </c>
    </row>
    <row r="60" spans="1:3" ht="12.75">
      <c r="A60">
        <v>25</v>
      </c>
      <c r="B60" s="15">
        <v>2002</v>
      </c>
      <c r="C60" s="15">
        <v>6538</v>
      </c>
    </row>
    <row r="61" spans="1:3" ht="12.75">
      <c r="A61">
        <v>26</v>
      </c>
      <c r="B61" s="15">
        <v>2003</v>
      </c>
      <c r="C61" s="15">
        <v>6694</v>
      </c>
    </row>
    <row r="62" spans="1:3" ht="12.75">
      <c r="A62">
        <v>27</v>
      </c>
      <c r="B62" s="15">
        <v>2004</v>
      </c>
      <c r="C62" s="15">
        <v>7115</v>
      </c>
    </row>
    <row r="63" spans="1:3" ht="12.75">
      <c r="A63">
        <v>28</v>
      </c>
      <c r="B63" s="15">
        <v>2005</v>
      </c>
      <c r="C63" s="173">
        <v>7314.74</v>
      </c>
    </row>
    <row r="64" spans="1:3" ht="12.75">
      <c r="A64">
        <v>29</v>
      </c>
      <c r="B64" s="41">
        <v>2006</v>
      </c>
      <c r="C64" s="173">
        <v>7684.07975</v>
      </c>
    </row>
  </sheetData>
  <sheetProtection selectLockedCells="1"/>
  <mergeCells count="4">
    <mergeCell ref="B1:U1"/>
    <mergeCell ref="C34:C35"/>
    <mergeCell ref="B34:B35"/>
    <mergeCell ref="B9:B2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I92"/>
  <sheetViews>
    <sheetView workbookViewId="0" topLeftCell="A1">
      <selection activeCell="A52" sqref="A52"/>
    </sheetView>
  </sheetViews>
  <sheetFormatPr defaultColWidth="9.140625" defaultRowHeight="12.75"/>
  <cols>
    <col min="1" max="1" width="9.140625" style="66" customWidth="1"/>
    <col min="2" max="2" width="17.8515625" style="66" bestFit="1" customWidth="1"/>
    <col min="3" max="3" width="11.28125" style="66" bestFit="1" customWidth="1"/>
    <col min="4" max="4" width="14.00390625" style="66" bestFit="1" customWidth="1"/>
    <col min="5" max="6" width="11.140625" style="66" bestFit="1" customWidth="1"/>
    <col min="7" max="7" width="11.28125" style="66" bestFit="1" customWidth="1"/>
    <col min="8" max="9" width="14.140625" style="66" bestFit="1" customWidth="1"/>
    <col min="10" max="10" width="14.140625" style="66" customWidth="1"/>
    <col min="11" max="11" width="10.140625" style="66" bestFit="1" customWidth="1"/>
    <col min="12" max="12" width="11.28125" style="66" bestFit="1" customWidth="1"/>
    <col min="13" max="13" width="10.28125" style="66" bestFit="1" customWidth="1"/>
    <col min="14" max="14" width="11.8515625" style="66" bestFit="1" customWidth="1"/>
    <col min="15" max="15" width="15.8515625" style="66" bestFit="1" customWidth="1"/>
    <col min="16" max="16" width="16.140625" style="66" bestFit="1" customWidth="1"/>
    <col min="17" max="17" width="16.28125" style="66" bestFit="1" customWidth="1"/>
    <col min="18" max="18" width="12.7109375" style="66" bestFit="1" customWidth="1"/>
    <col min="19" max="19" width="16.421875" style="66" bestFit="1" customWidth="1"/>
    <col min="20" max="20" width="12.8515625" style="66" bestFit="1" customWidth="1"/>
    <col min="21" max="21" width="16.28125" style="66" bestFit="1" customWidth="1"/>
    <col min="22" max="22" width="13.28125" style="66" bestFit="1" customWidth="1"/>
    <col min="23" max="23" width="16.421875" style="66" bestFit="1" customWidth="1"/>
    <col min="24" max="24" width="12.00390625" style="66" bestFit="1" customWidth="1"/>
    <col min="25" max="25" width="14.00390625" style="66" bestFit="1" customWidth="1"/>
    <col min="26" max="26" width="12.421875" style="66" bestFit="1" customWidth="1"/>
    <col min="27" max="27" width="15.8515625" style="66" bestFit="1" customWidth="1"/>
    <col min="28" max="28" width="14.28125" style="66" bestFit="1" customWidth="1"/>
    <col min="29" max="29" width="17.8515625" style="66" bestFit="1" customWidth="1"/>
    <col min="30" max="30" width="11.7109375" style="66" bestFit="1" customWidth="1"/>
    <col min="31" max="31" width="15.57421875" style="66" bestFit="1" customWidth="1"/>
    <col min="32" max="32" width="14.8515625" style="66" bestFit="1" customWidth="1"/>
    <col min="33" max="33" width="12.421875" style="66" bestFit="1" customWidth="1"/>
    <col min="34" max="35" width="14.8515625" style="66" bestFit="1" customWidth="1"/>
    <col min="36" max="16384" width="9.140625" style="66" customWidth="1"/>
  </cols>
  <sheetData>
    <row r="1" spans="2:31" ht="12.75">
      <c r="B1" s="8" t="s">
        <v>14</v>
      </c>
      <c r="C1" s="229" t="s">
        <v>35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</row>
    <row r="2" spans="1:35" ht="12.75">
      <c r="A2" s="66">
        <v>1</v>
      </c>
      <c r="B2" s="4"/>
      <c r="C2" s="4" t="s">
        <v>15</v>
      </c>
      <c r="D2" s="4" t="s">
        <v>16</v>
      </c>
      <c r="E2" s="4" t="s">
        <v>18</v>
      </c>
      <c r="F2" s="4" t="s">
        <v>231</v>
      </c>
      <c r="G2" s="4" t="s">
        <v>19</v>
      </c>
      <c r="H2" s="4" t="s">
        <v>20</v>
      </c>
      <c r="I2" s="4" t="s">
        <v>21</v>
      </c>
      <c r="J2" s="4" t="s">
        <v>232</v>
      </c>
      <c r="K2" s="4" t="s">
        <v>22</v>
      </c>
      <c r="L2" s="4" t="s">
        <v>23</v>
      </c>
      <c r="M2" s="4" t="s">
        <v>24</v>
      </c>
      <c r="N2" s="4" t="s">
        <v>233</v>
      </c>
      <c r="O2" s="4" t="s">
        <v>234</v>
      </c>
      <c r="P2" s="4" t="s">
        <v>25</v>
      </c>
      <c r="Q2" s="4" t="s">
        <v>26</v>
      </c>
      <c r="R2" s="4" t="s">
        <v>235</v>
      </c>
      <c r="S2" s="4" t="s">
        <v>27</v>
      </c>
      <c r="T2" s="4" t="s">
        <v>236</v>
      </c>
      <c r="U2" s="4" t="s">
        <v>28</v>
      </c>
      <c r="V2" s="4" t="s">
        <v>29</v>
      </c>
      <c r="W2" s="4" t="s">
        <v>30</v>
      </c>
      <c r="X2" s="4" t="s">
        <v>237</v>
      </c>
      <c r="Y2" s="4" t="s">
        <v>31</v>
      </c>
      <c r="Z2" s="4" t="s">
        <v>34</v>
      </c>
      <c r="AA2" s="4" t="s">
        <v>238</v>
      </c>
      <c r="AB2" s="4" t="s">
        <v>239</v>
      </c>
      <c r="AC2" s="4" t="s">
        <v>32</v>
      </c>
      <c r="AD2" s="4" t="s">
        <v>33</v>
      </c>
      <c r="AE2" s="4" t="s">
        <v>240</v>
      </c>
      <c r="AF2" s="4" t="s">
        <v>241</v>
      </c>
      <c r="AG2" s="67"/>
      <c r="AH2" s="67"/>
      <c r="AI2" s="8"/>
    </row>
    <row r="3" spans="1:34" s="7" customFormat="1" ht="12.75">
      <c r="A3" s="7">
        <v>2</v>
      </c>
      <c r="B3" s="42">
        <v>1991</v>
      </c>
      <c r="C3" s="42">
        <v>89.3</v>
      </c>
      <c r="D3" s="42">
        <v>97</v>
      </c>
      <c r="E3" s="42">
        <v>117</v>
      </c>
      <c r="F3" s="42">
        <v>126.8</v>
      </c>
      <c r="G3" s="42">
        <v>103.7</v>
      </c>
      <c r="H3" s="42">
        <v>95.7</v>
      </c>
      <c r="I3" s="42">
        <v>106.9</v>
      </c>
      <c r="J3" s="42">
        <v>97.4</v>
      </c>
      <c r="K3" s="42">
        <v>87.7</v>
      </c>
      <c r="L3" s="42">
        <v>92.5</v>
      </c>
      <c r="M3" s="42">
        <v>106.1</v>
      </c>
      <c r="N3" s="42">
        <v>89.9</v>
      </c>
      <c r="O3" s="42">
        <v>97.1</v>
      </c>
      <c r="P3" s="42">
        <v>97.8</v>
      </c>
      <c r="Q3" s="42">
        <v>112.3</v>
      </c>
      <c r="R3" s="42">
        <v>86.8</v>
      </c>
      <c r="S3" s="42">
        <v>100.4</v>
      </c>
      <c r="T3" s="42">
        <v>84.1</v>
      </c>
      <c r="U3" s="42">
        <v>87.8</v>
      </c>
      <c r="V3" s="42">
        <v>126.8</v>
      </c>
      <c r="W3" s="42">
        <v>109.4</v>
      </c>
      <c r="X3" s="42">
        <v>91.1</v>
      </c>
      <c r="Y3" s="42">
        <v>100.2</v>
      </c>
      <c r="Z3" s="42">
        <v>102.2</v>
      </c>
      <c r="AA3" s="42">
        <v>85.1</v>
      </c>
      <c r="AB3" s="42">
        <v>108.8</v>
      </c>
      <c r="AC3" s="42">
        <v>124.9</v>
      </c>
      <c r="AD3" s="42">
        <v>102.9</v>
      </c>
      <c r="AE3" s="42">
        <v>96.4</v>
      </c>
      <c r="AF3" s="69">
        <f>AVERAGE(C3:AE3)</f>
        <v>100.83103448275861</v>
      </c>
      <c r="AG3" s="9"/>
      <c r="AH3" s="9"/>
    </row>
    <row r="4" spans="1:34" s="7" customFormat="1" ht="12.75">
      <c r="A4" s="66">
        <v>3</v>
      </c>
      <c r="B4" s="42">
        <v>1992</v>
      </c>
      <c r="C4" s="42">
        <v>89.4</v>
      </c>
      <c r="D4" s="42">
        <v>97.5</v>
      </c>
      <c r="E4" s="42">
        <v>118.4</v>
      </c>
      <c r="F4" s="42">
        <v>131.1</v>
      </c>
      <c r="G4" s="42">
        <v>104.4</v>
      </c>
      <c r="H4" s="42">
        <v>95.3</v>
      </c>
      <c r="I4" s="42">
        <v>105.8</v>
      </c>
      <c r="J4" s="42">
        <v>97.5</v>
      </c>
      <c r="K4" s="42">
        <v>86.4</v>
      </c>
      <c r="L4" s="42">
        <v>91.5</v>
      </c>
      <c r="M4" s="42">
        <v>107.5</v>
      </c>
      <c r="N4" s="42">
        <v>89.9</v>
      </c>
      <c r="O4" s="42">
        <v>97.4</v>
      </c>
      <c r="P4" s="42">
        <v>96.7</v>
      </c>
      <c r="Q4" s="42">
        <v>113.3</v>
      </c>
      <c r="R4" s="42">
        <v>86.5</v>
      </c>
      <c r="S4" s="42">
        <v>100</v>
      </c>
      <c r="T4" s="42">
        <v>84.4</v>
      </c>
      <c r="U4" s="42">
        <v>85.9</v>
      </c>
      <c r="V4" s="42">
        <v>131.1</v>
      </c>
      <c r="W4" s="42">
        <v>109.5</v>
      </c>
      <c r="X4" s="42">
        <v>90.1</v>
      </c>
      <c r="Y4" s="42">
        <v>100.4</v>
      </c>
      <c r="Z4" s="42">
        <v>101.5</v>
      </c>
      <c r="AA4" s="42">
        <v>84.3</v>
      </c>
      <c r="AB4" s="42">
        <v>108.2</v>
      </c>
      <c r="AC4" s="42">
        <v>125.5</v>
      </c>
      <c r="AD4" s="42">
        <v>102</v>
      </c>
      <c r="AE4" s="42">
        <v>96</v>
      </c>
      <c r="AF4" s="69">
        <f aca="true" t="shared" si="0" ref="AF4:AF18">AVERAGE(C4:AE4)</f>
        <v>100.94827586206897</v>
      </c>
      <c r="AG4" s="9"/>
      <c r="AH4" s="9"/>
    </row>
    <row r="5" spans="1:32" ht="12.75">
      <c r="A5" s="7">
        <v>4</v>
      </c>
      <c r="B5" s="15">
        <v>1993</v>
      </c>
      <c r="C5" s="15">
        <v>88.9</v>
      </c>
      <c r="D5" s="15">
        <v>97</v>
      </c>
      <c r="E5" s="15">
        <v>118.6</v>
      </c>
      <c r="F5" s="15">
        <v>105.4</v>
      </c>
      <c r="G5" s="15">
        <v>106.1</v>
      </c>
      <c r="H5" s="15">
        <v>94.9</v>
      </c>
      <c r="I5" s="15">
        <v>106.7</v>
      </c>
      <c r="J5" s="15">
        <v>96.8</v>
      </c>
      <c r="K5" s="15">
        <v>85.3</v>
      </c>
      <c r="L5" s="15">
        <v>91</v>
      </c>
      <c r="M5" s="15">
        <v>107.9</v>
      </c>
      <c r="N5" s="15">
        <v>89.9</v>
      </c>
      <c r="O5" s="15">
        <v>97.7</v>
      </c>
      <c r="P5" s="15">
        <v>96.6</v>
      </c>
      <c r="Q5" s="15">
        <v>112.7</v>
      </c>
      <c r="R5" s="15">
        <v>86.8</v>
      </c>
      <c r="S5" s="15">
        <v>99.1</v>
      </c>
      <c r="T5" s="15">
        <v>83.7</v>
      </c>
      <c r="U5" s="15">
        <v>85.5</v>
      </c>
      <c r="V5" s="15">
        <v>133.4</v>
      </c>
      <c r="W5" s="15">
        <v>109.9</v>
      </c>
      <c r="X5" s="15">
        <v>89.8</v>
      </c>
      <c r="Y5" s="15">
        <v>101.4</v>
      </c>
      <c r="Z5" s="15">
        <v>100.9</v>
      </c>
      <c r="AA5" s="15">
        <v>84</v>
      </c>
      <c r="AB5" s="15">
        <v>107</v>
      </c>
      <c r="AC5" s="15">
        <v>124.4</v>
      </c>
      <c r="AD5" s="15">
        <v>102.8</v>
      </c>
      <c r="AE5" s="15">
        <v>95.6</v>
      </c>
      <c r="AF5" s="69">
        <f t="shared" si="0"/>
        <v>99.99310344827589</v>
      </c>
    </row>
    <row r="6" spans="1:32" ht="12.75">
      <c r="A6" s="66">
        <v>5</v>
      </c>
      <c r="B6" s="15">
        <v>1994</v>
      </c>
      <c r="C6" s="15">
        <v>86</v>
      </c>
      <c r="D6" s="15">
        <v>92.8</v>
      </c>
      <c r="E6" s="15">
        <v>120.7</v>
      </c>
      <c r="F6" s="15">
        <v>102</v>
      </c>
      <c r="G6" s="15">
        <v>108.4</v>
      </c>
      <c r="H6" s="15">
        <v>92.8</v>
      </c>
      <c r="I6" s="15">
        <v>102.4</v>
      </c>
      <c r="J6" s="15">
        <v>93.5</v>
      </c>
      <c r="K6" s="15">
        <v>87.6</v>
      </c>
      <c r="L6" s="15">
        <v>93.6</v>
      </c>
      <c r="M6" s="15">
        <v>105</v>
      </c>
      <c r="N6" s="15">
        <v>91</v>
      </c>
      <c r="O6" s="15">
        <v>93.4</v>
      </c>
      <c r="P6" s="15">
        <v>93.8</v>
      </c>
      <c r="Q6" s="15">
        <v>115.2</v>
      </c>
      <c r="R6" s="15">
        <v>86.5</v>
      </c>
      <c r="S6" s="15">
        <v>109.2</v>
      </c>
      <c r="T6" s="15">
        <v>82.3</v>
      </c>
      <c r="U6" s="15">
        <v>87.7</v>
      </c>
      <c r="V6" s="15">
        <v>132.6</v>
      </c>
      <c r="W6" s="15">
        <v>109.1</v>
      </c>
      <c r="X6" s="15">
        <v>90.5</v>
      </c>
      <c r="Y6" s="15">
        <v>99.9</v>
      </c>
      <c r="Z6" s="15">
        <v>99.5</v>
      </c>
      <c r="AA6" s="15">
        <v>85</v>
      </c>
      <c r="AB6" s="15">
        <v>110.8</v>
      </c>
      <c r="AC6" s="15">
        <v>129</v>
      </c>
      <c r="AD6" s="15">
        <v>107.2</v>
      </c>
      <c r="AE6" s="15">
        <v>95.7</v>
      </c>
      <c r="AF6" s="69">
        <f t="shared" si="0"/>
        <v>100.1103448275862</v>
      </c>
    </row>
    <row r="7" spans="1:32" ht="12.75">
      <c r="A7" s="7">
        <v>6</v>
      </c>
      <c r="B7" s="15">
        <v>1995</v>
      </c>
      <c r="C7" s="15">
        <v>87.3</v>
      </c>
      <c r="D7" s="15">
        <v>91.2</v>
      </c>
      <c r="E7" s="15">
        <v>120.8</v>
      </c>
      <c r="F7" s="15">
        <v>133.9</v>
      </c>
      <c r="G7" s="15">
        <v>108.5</v>
      </c>
      <c r="H7" s="15">
        <v>92.2</v>
      </c>
      <c r="I7" s="15">
        <v>101.1</v>
      </c>
      <c r="J7" s="15">
        <v>93.5</v>
      </c>
      <c r="K7" s="15">
        <v>86.3</v>
      </c>
      <c r="L7" s="15">
        <v>92.7</v>
      </c>
      <c r="M7" s="15">
        <v>104.7</v>
      </c>
      <c r="N7" s="15">
        <v>90.7</v>
      </c>
      <c r="O7" s="15">
        <v>94.6</v>
      </c>
      <c r="P7" s="15">
        <v>94.4</v>
      </c>
      <c r="Q7" s="15">
        <v>115.2</v>
      </c>
      <c r="R7" s="15">
        <v>86.5</v>
      </c>
      <c r="S7" s="15">
        <v>106.2</v>
      </c>
      <c r="T7" s="15">
        <v>82.4</v>
      </c>
      <c r="U7" s="15">
        <v>86.9</v>
      </c>
      <c r="V7" s="15">
        <v>133.9</v>
      </c>
      <c r="W7" s="15">
        <v>111.6</v>
      </c>
      <c r="X7" s="15">
        <v>91.1</v>
      </c>
      <c r="Y7" s="15">
        <v>100.6</v>
      </c>
      <c r="Z7" s="15">
        <v>100.9</v>
      </c>
      <c r="AA7" s="15">
        <v>83.9</v>
      </c>
      <c r="AB7" s="15">
        <v>109.6</v>
      </c>
      <c r="AC7" s="15">
        <v>127</v>
      </c>
      <c r="AD7" s="15">
        <v>107.2</v>
      </c>
      <c r="AE7" s="15">
        <v>96.6</v>
      </c>
      <c r="AF7" s="69">
        <f t="shared" si="0"/>
        <v>101.08620689655173</v>
      </c>
    </row>
    <row r="8" spans="1:32" ht="12.75">
      <c r="A8" s="66">
        <v>7</v>
      </c>
      <c r="B8" s="15">
        <v>1996</v>
      </c>
      <c r="C8" s="15">
        <v>86.1</v>
      </c>
      <c r="D8" s="15">
        <v>91</v>
      </c>
      <c r="E8" s="15">
        <v>118.8</v>
      </c>
      <c r="F8" s="15">
        <v>136.1</v>
      </c>
      <c r="G8" s="15">
        <v>108</v>
      </c>
      <c r="H8" s="15">
        <v>91.9</v>
      </c>
      <c r="I8" s="15">
        <v>101.6</v>
      </c>
      <c r="J8" s="15">
        <v>93.3</v>
      </c>
      <c r="K8" s="15">
        <v>86.2</v>
      </c>
      <c r="L8" s="15">
        <v>93.2</v>
      </c>
      <c r="M8" s="15">
        <v>105.4</v>
      </c>
      <c r="N8" s="15">
        <v>90.2</v>
      </c>
      <c r="O8" s="15">
        <v>94.8</v>
      </c>
      <c r="P8" s="15">
        <v>94.8</v>
      </c>
      <c r="Q8" s="15">
        <v>113.3</v>
      </c>
      <c r="R8" s="15">
        <v>86.3</v>
      </c>
      <c r="S8" s="15">
        <v>111</v>
      </c>
      <c r="T8" s="15">
        <v>83.9</v>
      </c>
      <c r="U8" s="15">
        <v>86.3</v>
      </c>
      <c r="V8" s="15">
        <v>136.1</v>
      </c>
      <c r="W8" s="15">
        <v>109.7</v>
      </c>
      <c r="X8" s="15">
        <v>90.5</v>
      </c>
      <c r="Y8" s="15">
        <v>101.9</v>
      </c>
      <c r="Z8" s="15">
        <v>100.7</v>
      </c>
      <c r="AA8" s="15">
        <v>83.3</v>
      </c>
      <c r="AB8" s="15">
        <v>109.4</v>
      </c>
      <c r="AC8" s="15">
        <v>126.3</v>
      </c>
      <c r="AD8" s="15">
        <v>106</v>
      </c>
      <c r="AE8" s="15">
        <v>96.8</v>
      </c>
      <c r="AF8" s="69">
        <f t="shared" si="0"/>
        <v>101.1344827586207</v>
      </c>
    </row>
    <row r="9" spans="1:32" ht="12.75">
      <c r="A9" s="7">
        <v>8</v>
      </c>
      <c r="B9" s="15">
        <v>1997</v>
      </c>
      <c r="C9" s="15">
        <v>88.3</v>
      </c>
      <c r="D9" s="15">
        <v>91.3</v>
      </c>
      <c r="E9" s="15">
        <v>118.6</v>
      </c>
      <c r="F9" s="15">
        <v>104.3</v>
      </c>
      <c r="G9" s="15">
        <v>108.1</v>
      </c>
      <c r="H9" s="15">
        <v>92.5</v>
      </c>
      <c r="I9" s="15">
        <v>101.2</v>
      </c>
      <c r="J9" s="15">
        <v>93.8</v>
      </c>
      <c r="K9" s="15">
        <v>86.4</v>
      </c>
      <c r="L9" s="15">
        <v>93.1</v>
      </c>
      <c r="M9" s="15">
        <v>105.2</v>
      </c>
      <c r="N9" s="15">
        <v>89.7</v>
      </c>
      <c r="O9" s="15">
        <v>94.1</v>
      </c>
      <c r="P9" s="15">
        <v>94.9</v>
      </c>
      <c r="Q9" s="15">
        <v>112.3</v>
      </c>
      <c r="R9" s="15">
        <v>86.3</v>
      </c>
      <c r="S9" s="15">
        <v>110.1</v>
      </c>
      <c r="T9" s="15">
        <v>84.8</v>
      </c>
      <c r="U9" s="15">
        <v>86.5</v>
      </c>
      <c r="V9" s="15">
        <v>135.2</v>
      </c>
      <c r="W9" s="15">
        <v>110.8</v>
      </c>
      <c r="X9" s="15">
        <v>91.2</v>
      </c>
      <c r="Y9" s="15">
        <v>102.5</v>
      </c>
      <c r="Z9" s="15">
        <v>101.5</v>
      </c>
      <c r="AA9" s="15">
        <v>84.7</v>
      </c>
      <c r="AB9" s="15">
        <v>108.5</v>
      </c>
      <c r="AC9" s="15">
        <v>125.7</v>
      </c>
      <c r="AD9" s="15">
        <v>105.4</v>
      </c>
      <c r="AE9" s="15">
        <v>95.5</v>
      </c>
      <c r="AF9" s="69">
        <f t="shared" si="0"/>
        <v>100.08620689655172</v>
      </c>
    </row>
    <row r="10" spans="1:32" ht="12.75">
      <c r="A10" s="66">
        <v>9</v>
      </c>
      <c r="B10" s="15">
        <v>1998</v>
      </c>
      <c r="C10" s="15">
        <v>88.7</v>
      </c>
      <c r="D10" s="15">
        <v>91.9</v>
      </c>
      <c r="E10" s="15">
        <v>116.7</v>
      </c>
      <c r="F10" s="15">
        <v>134.2</v>
      </c>
      <c r="G10" s="15">
        <v>110.6</v>
      </c>
      <c r="H10" s="15">
        <v>92.5</v>
      </c>
      <c r="I10" s="15">
        <v>100.9</v>
      </c>
      <c r="J10" s="15">
        <v>94.2</v>
      </c>
      <c r="K10" s="15">
        <v>86.5</v>
      </c>
      <c r="L10" s="15">
        <v>93.7</v>
      </c>
      <c r="M10" s="15">
        <v>105.4</v>
      </c>
      <c r="N10" s="15">
        <v>89.5</v>
      </c>
      <c r="O10" s="15">
        <v>95.4</v>
      </c>
      <c r="P10" s="15">
        <v>95.4</v>
      </c>
      <c r="Q10" s="15">
        <v>111.2</v>
      </c>
      <c r="R10" s="15">
        <v>85.9</v>
      </c>
      <c r="S10" s="15">
        <v>110.2</v>
      </c>
      <c r="T10" s="15">
        <v>85.4</v>
      </c>
      <c r="U10" s="15">
        <v>86.2</v>
      </c>
      <c r="V10" s="15">
        <v>134.2</v>
      </c>
      <c r="W10" s="15">
        <v>110.4</v>
      </c>
      <c r="X10" s="15">
        <v>89.6</v>
      </c>
      <c r="Y10" s="15">
        <v>103.2</v>
      </c>
      <c r="Z10" s="15">
        <v>102.3</v>
      </c>
      <c r="AA10" s="15">
        <v>83.7</v>
      </c>
      <c r="AB10" s="15">
        <v>107.2</v>
      </c>
      <c r="AC10" s="15">
        <v>124.4</v>
      </c>
      <c r="AD10" s="15">
        <v>105.5</v>
      </c>
      <c r="AE10" s="15">
        <v>95.5</v>
      </c>
      <c r="AF10" s="69">
        <f t="shared" si="0"/>
        <v>101.05172413793105</v>
      </c>
    </row>
    <row r="11" spans="1:32" ht="12.75">
      <c r="A11" s="7">
        <v>10</v>
      </c>
      <c r="B11" s="15">
        <v>1999</v>
      </c>
      <c r="C11" s="15">
        <v>88.4</v>
      </c>
      <c r="D11" s="15">
        <v>91.6</v>
      </c>
      <c r="E11" s="15">
        <v>116.7</v>
      </c>
      <c r="F11" s="15">
        <v>102.3</v>
      </c>
      <c r="G11" s="15">
        <v>110.9</v>
      </c>
      <c r="H11" s="15">
        <v>92.5</v>
      </c>
      <c r="I11" s="15">
        <v>101.9</v>
      </c>
      <c r="J11" s="15">
        <v>94.1</v>
      </c>
      <c r="K11" s="15">
        <v>86.7</v>
      </c>
      <c r="L11" s="15">
        <v>93.6</v>
      </c>
      <c r="M11" s="15">
        <v>104.3</v>
      </c>
      <c r="N11" s="15">
        <v>89.3</v>
      </c>
      <c r="O11" s="15">
        <v>95.4</v>
      </c>
      <c r="P11" s="15">
        <v>98.6</v>
      </c>
      <c r="Q11" s="15">
        <v>110.6</v>
      </c>
      <c r="R11" s="15">
        <v>85.7</v>
      </c>
      <c r="S11" s="15">
        <v>109</v>
      </c>
      <c r="T11" s="15">
        <v>85</v>
      </c>
      <c r="U11" s="15">
        <v>85.4</v>
      </c>
      <c r="V11" s="15">
        <v>133.9</v>
      </c>
      <c r="W11" s="15">
        <v>111.9</v>
      </c>
      <c r="X11" s="15">
        <v>90.2</v>
      </c>
      <c r="Y11" s="15">
        <v>102.5</v>
      </c>
      <c r="Z11" s="15">
        <v>102.7</v>
      </c>
      <c r="AA11" s="15">
        <v>83.7</v>
      </c>
      <c r="AB11" s="15">
        <v>107.1</v>
      </c>
      <c r="AC11" s="15">
        <v>124.2</v>
      </c>
      <c r="AD11" s="15">
        <v>104.6</v>
      </c>
      <c r="AE11" s="15">
        <v>96</v>
      </c>
      <c r="AF11" s="69">
        <f t="shared" si="0"/>
        <v>99.95862068965515</v>
      </c>
    </row>
    <row r="12" spans="1:32" ht="12.75">
      <c r="A12" s="66">
        <v>11</v>
      </c>
      <c r="B12" s="15">
        <v>2000</v>
      </c>
      <c r="C12" s="15">
        <v>89.1</v>
      </c>
      <c r="D12" s="15">
        <v>91</v>
      </c>
      <c r="E12" s="15">
        <v>116.6</v>
      </c>
      <c r="F12" s="15">
        <v>133.8</v>
      </c>
      <c r="G12" s="15">
        <v>110.7</v>
      </c>
      <c r="H12" s="15">
        <v>92.7</v>
      </c>
      <c r="I12" s="15">
        <v>102.4</v>
      </c>
      <c r="J12" s="15">
        <v>94.4</v>
      </c>
      <c r="K12" s="15">
        <v>86.8</v>
      </c>
      <c r="L12" s="15">
        <v>94.2</v>
      </c>
      <c r="M12" s="15">
        <v>105.4</v>
      </c>
      <c r="N12" s="15">
        <v>89.4</v>
      </c>
      <c r="O12" s="15">
        <v>94.5</v>
      </c>
      <c r="P12" s="15">
        <v>98.4</v>
      </c>
      <c r="Q12" s="15">
        <v>109.6</v>
      </c>
      <c r="R12" s="15">
        <v>84.9</v>
      </c>
      <c r="S12" s="15">
        <v>110.3</v>
      </c>
      <c r="T12" s="15">
        <v>84.4</v>
      </c>
      <c r="U12" s="15">
        <v>85.3</v>
      </c>
      <c r="V12" s="15">
        <v>133.8</v>
      </c>
      <c r="W12" s="15">
        <v>111.9</v>
      </c>
      <c r="X12" s="15">
        <v>89.5</v>
      </c>
      <c r="Y12" s="15">
        <v>102.4</v>
      </c>
      <c r="Z12" s="15">
        <v>103.2</v>
      </c>
      <c r="AA12" s="15">
        <v>84</v>
      </c>
      <c r="AB12" s="15">
        <v>106.6</v>
      </c>
      <c r="AC12" s="15">
        <v>123.8</v>
      </c>
      <c r="AD12" s="15">
        <v>105.7</v>
      </c>
      <c r="AE12" s="15">
        <v>95.7</v>
      </c>
      <c r="AF12" s="69">
        <f t="shared" si="0"/>
        <v>101.05172413793103</v>
      </c>
    </row>
    <row r="13" spans="1:32" ht="12.75">
      <c r="A13" s="7">
        <v>12</v>
      </c>
      <c r="B13" s="15">
        <v>2001</v>
      </c>
      <c r="C13" s="15">
        <v>89.1</v>
      </c>
      <c r="D13" s="15">
        <v>91.9</v>
      </c>
      <c r="E13" s="15">
        <v>115</v>
      </c>
      <c r="F13" s="15">
        <v>102.2</v>
      </c>
      <c r="G13" s="15">
        <v>111.4</v>
      </c>
      <c r="H13" s="15">
        <v>94.6</v>
      </c>
      <c r="I13" s="15">
        <v>102.9</v>
      </c>
      <c r="J13" s="15">
        <v>95.5</v>
      </c>
      <c r="K13" s="15">
        <v>85</v>
      </c>
      <c r="L13" s="15">
        <v>95.2</v>
      </c>
      <c r="M13" s="15">
        <v>106.2</v>
      </c>
      <c r="N13" s="15">
        <v>87.7</v>
      </c>
      <c r="O13" s="15">
        <v>94.9</v>
      </c>
      <c r="P13" s="15">
        <v>100</v>
      </c>
      <c r="Q13" s="15">
        <v>108.5</v>
      </c>
      <c r="R13" s="15">
        <v>86</v>
      </c>
      <c r="S13" s="15">
        <v>111.6</v>
      </c>
      <c r="T13" s="15">
        <v>85.7</v>
      </c>
      <c r="U13" s="15">
        <v>85.7</v>
      </c>
      <c r="V13" s="15">
        <v>134.5</v>
      </c>
      <c r="W13" s="15">
        <v>111.4</v>
      </c>
      <c r="X13" s="15">
        <v>89.3</v>
      </c>
      <c r="Y13" s="15">
        <v>101.4</v>
      </c>
      <c r="Z13" s="15">
        <v>103.2</v>
      </c>
      <c r="AA13" s="15">
        <v>82.8</v>
      </c>
      <c r="AB13" s="15">
        <v>106.3</v>
      </c>
      <c r="AC13" s="15">
        <v>122.6</v>
      </c>
      <c r="AD13" s="15">
        <v>104.4</v>
      </c>
      <c r="AE13" s="15">
        <v>94.8</v>
      </c>
      <c r="AF13" s="69">
        <f t="shared" si="0"/>
        <v>99.99310344827589</v>
      </c>
    </row>
    <row r="14" spans="1:32" ht="12.75">
      <c r="A14" s="66">
        <v>13</v>
      </c>
      <c r="B14" s="15">
        <v>2002</v>
      </c>
      <c r="C14" s="15">
        <v>89.6</v>
      </c>
      <c r="D14" s="15">
        <v>91.5</v>
      </c>
      <c r="E14" s="15">
        <v>115</v>
      </c>
      <c r="F14" s="15">
        <v>101.5</v>
      </c>
      <c r="G14" s="15">
        <v>112</v>
      </c>
      <c r="H14" s="15">
        <v>94.4</v>
      </c>
      <c r="I14" s="15">
        <v>102.7</v>
      </c>
      <c r="J14" s="15">
        <v>95.5</v>
      </c>
      <c r="K14" s="15">
        <v>85.2</v>
      </c>
      <c r="L14" s="15">
        <v>95.3</v>
      </c>
      <c r="M14" s="15">
        <v>106.5</v>
      </c>
      <c r="N14" s="15">
        <v>88.3</v>
      </c>
      <c r="O14" s="15">
        <v>95.9</v>
      </c>
      <c r="P14" s="15">
        <v>100.7</v>
      </c>
      <c r="Q14" s="15">
        <v>108.3</v>
      </c>
      <c r="R14" s="15">
        <v>84.4</v>
      </c>
      <c r="S14" s="15">
        <v>108</v>
      </c>
      <c r="T14" s="15">
        <v>86.1</v>
      </c>
      <c r="U14" s="15">
        <v>85.5</v>
      </c>
      <c r="V14" s="15">
        <v>134.6</v>
      </c>
      <c r="W14" s="15">
        <v>111.2</v>
      </c>
      <c r="X14" s="15">
        <v>89.4</v>
      </c>
      <c r="Y14" s="15">
        <v>101.7</v>
      </c>
      <c r="Z14" s="15">
        <v>103</v>
      </c>
      <c r="AA14" s="15">
        <v>82.6</v>
      </c>
      <c r="AB14" s="15">
        <v>105.8</v>
      </c>
      <c r="AC14" s="15">
        <v>124.4</v>
      </c>
      <c r="AD14" s="15">
        <v>105.4</v>
      </c>
      <c r="AE14" s="15">
        <v>94.5</v>
      </c>
      <c r="AF14" s="69">
        <f t="shared" si="0"/>
        <v>99.96551724137932</v>
      </c>
    </row>
    <row r="15" spans="1:32" ht="12.75">
      <c r="A15" s="7">
        <v>14</v>
      </c>
      <c r="B15" s="15">
        <v>2003</v>
      </c>
      <c r="C15" s="15">
        <v>89.6</v>
      </c>
      <c r="D15" s="15">
        <v>91.2</v>
      </c>
      <c r="E15" s="15">
        <v>115</v>
      </c>
      <c r="F15" s="15">
        <v>101.8</v>
      </c>
      <c r="G15" s="15">
        <v>113.6</v>
      </c>
      <c r="H15" s="15">
        <v>94.4</v>
      </c>
      <c r="I15" s="15">
        <v>102.7</v>
      </c>
      <c r="J15" s="15">
        <v>95.8</v>
      </c>
      <c r="K15" s="15">
        <v>84.6</v>
      </c>
      <c r="L15" s="15">
        <v>95.9</v>
      </c>
      <c r="M15" s="15">
        <v>107.6</v>
      </c>
      <c r="N15" s="15">
        <v>87.5</v>
      </c>
      <c r="O15" s="15">
        <v>94.6</v>
      </c>
      <c r="P15" s="15">
        <v>101.7</v>
      </c>
      <c r="Q15" s="15">
        <v>107.5</v>
      </c>
      <c r="R15" s="15">
        <v>85.7</v>
      </c>
      <c r="S15" s="15">
        <v>113.2</v>
      </c>
      <c r="T15" s="15">
        <v>86.2</v>
      </c>
      <c r="U15" s="15">
        <v>86.7</v>
      </c>
      <c r="V15" s="15">
        <v>132.6</v>
      </c>
      <c r="W15" s="15">
        <v>111.4</v>
      </c>
      <c r="X15" s="15">
        <v>88.3</v>
      </c>
      <c r="Y15" s="15">
        <v>100.2</v>
      </c>
      <c r="Z15" s="15">
        <v>102.3</v>
      </c>
      <c r="AA15" s="15">
        <v>81.1</v>
      </c>
      <c r="AB15" s="15">
        <v>105.5</v>
      </c>
      <c r="AC15" s="15">
        <v>123.6</v>
      </c>
      <c r="AD15" s="15">
        <v>103.4</v>
      </c>
      <c r="AE15" s="15">
        <v>95.7</v>
      </c>
      <c r="AF15" s="69">
        <f t="shared" si="0"/>
        <v>99.9793103448276</v>
      </c>
    </row>
    <row r="16" spans="1:32" ht="12.75">
      <c r="A16" s="66">
        <v>15</v>
      </c>
      <c r="B16" s="15">
        <v>2004</v>
      </c>
      <c r="C16" s="15">
        <v>89.7</v>
      </c>
      <c r="D16" s="15">
        <v>91.4</v>
      </c>
      <c r="E16" s="15">
        <v>115</v>
      </c>
      <c r="F16" s="15">
        <v>101.9</v>
      </c>
      <c r="G16" s="15">
        <v>112.5</v>
      </c>
      <c r="H16" s="15">
        <v>94</v>
      </c>
      <c r="I16" s="15">
        <v>102.2</v>
      </c>
      <c r="J16" s="15">
        <v>95.2</v>
      </c>
      <c r="K16" s="15">
        <v>84.3</v>
      </c>
      <c r="L16" s="15">
        <v>95.8</v>
      </c>
      <c r="M16" s="15">
        <v>107.2</v>
      </c>
      <c r="N16" s="15">
        <v>87</v>
      </c>
      <c r="O16" s="15">
        <v>94.3</v>
      </c>
      <c r="P16" s="15">
        <v>102</v>
      </c>
      <c r="Q16" s="15">
        <v>108.3</v>
      </c>
      <c r="R16" s="15">
        <v>86.7</v>
      </c>
      <c r="S16" s="15">
        <v>113.4</v>
      </c>
      <c r="T16" s="15">
        <v>87.2</v>
      </c>
      <c r="U16" s="15">
        <v>86</v>
      </c>
      <c r="V16" s="15">
        <v>134</v>
      </c>
      <c r="W16" s="15">
        <v>112.1</v>
      </c>
      <c r="X16" s="15">
        <v>87.9</v>
      </c>
      <c r="Y16" s="15">
        <v>100.5</v>
      </c>
      <c r="Z16" s="15">
        <v>102.2</v>
      </c>
      <c r="AA16" s="15">
        <v>80.7</v>
      </c>
      <c r="AB16" s="15">
        <v>104.7</v>
      </c>
      <c r="AC16" s="15">
        <v>123.6</v>
      </c>
      <c r="AD16" s="15">
        <v>104.1</v>
      </c>
      <c r="AE16" s="15">
        <v>95.2</v>
      </c>
      <c r="AF16" s="69">
        <f t="shared" si="0"/>
        <v>99.96896551724136</v>
      </c>
    </row>
    <row r="17" spans="1:32" ht="12.75">
      <c r="A17" s="7">
        <v>16</v>
      </c>
      <c r="B17" s="15">
        <v>2005</v>
      </c>
      <c r="C17" s="15">
        <v>89.8</v>
      </c>
      <c r="D17" s="15">
        <v>92.7</v>
      </c>
      <c r="E17" s="15">
        <v>115.4</v>
      </c>
      <c r="F17" s="15">
        <v>102.1</v>
      </c>
      <c r="G17" s="15">
        <v>111.6</v>
      </c>
      <c r="H17" s="15">
        <v>93.6</v>
      </c>
      <c r="I17" s="15">
        <v>101.1</v>
      </c>
      <c r="J17" s="15">
        <v>94.5</v>
      </c>
      <c r="K17" s="15">
        <v>84.3</v>
      </c>
      <c r="L17" s="15">
        <v>95.8</v>
      </c>
      <c r="M17" s="15">
        <v>107</v>
      </c>
      <c r="N17" s="15">
        <v>87.2</v>
      </c>
      <c r="O17" s="15">
        <v>94.2</v>
      </c>
      <c r="P17" s="15">
        <v>103.4</v>
      </c>
      <c r="Q17" s="15">
        <v>106.8</v>
      </c>
      <c r="R17" s="15">
        <v>87.8</v>
      </c>
      <c r="S17" s="15">
        <v>112.6</v>
      </c>
      <c r="T17" s="15">
        <v>87.1</v>
      </c>
      <c r="U17" s="15">
        <v>86.4</v>
      </c>
      <c r="V17" s="15">
        <v>132.4</v>
      </c>
      <c r="W17" s="15">
        <v>113.6</v>
      </c>
      <c r="X17" s="15">
        <v>87.7</v>
      </c>
      <c r="Y17" s="15">
        <v>99.9</v>
      </c>
      <c r="Z17" s="15">
        <v>102.1</v>
      </c>
      <c r="AA17" s="15">
        <v>82.3</v>
      </c>
      <c r="AB17" s="15">
        <v>104.4</v>
      </c>
      <c r="AC17" s="15">
        <v>122.2</v>
      </c>
      <c r="AD17" s="15">
        <v>105</v>
      </c>
      <c r="AE17" s="15">
        <v>96.9</v>
      </c>
      <c r="AF17" s="69">
        <f t="shared" si="0"/>
        <v>99.99655172413793</v>
      </c>
    </row>
    <row r="18" spans="1:32" ht="12.75">
      <c r="A18" s="66">
        <v>17</v>
      </c>
      <c r="B18" s="41">
        <v>2006</v>
      </c>
      <c r="C18" s="15">
        <v>89.4</v>
      </c>
      <c r="D18" s="15">
        <v>92.9</v>
      </c>
      <c r="E18" s="15">
        <v>115.6</v>
      </c>
      <c r="F18" s="41">
        <v>102.4</v>
      </c>
      <c r="G18" s="41">
        <v>111.7</v>
      </c>
      <c r="H18" s="15">
        <v>92.8</v>
      </c>
      <c r="I18" s="15">
        <v>100.4</v>
      </c>
      <c r="J18" s="15">
        <v>93.9</v>
      </c>
      <c r="K18" s="15">
        <v>84.4</v>
      </c>
      <c r="L18" s="15">
        <v>95.8</v>
      </c>
      <c r="M18" s="15">
        <v>107.3</v>
      </c>
      <c r="N18" s="15">
        <v>87.7</v>
      </c>
      <c r="O18" s="15">
        <v>93.7</v>
      </c>
      <c r="P18" s="15">
        <v>103.5</v>
      </c>
      <c r="Q18" s="15">
        <v>106.8</v>
      </c>
      <c r="R18" s="15">
        <v>87.5</v>
      </c>
      <c r="S18" s="15">
        <v>112.2</v>
      </c>
      <c r="T18" s="15">
        <v>86.9</v>
      </c>
      <c r="U18" s="15">
        <v>86.4</v>
      </c>
      <c r="V18" s="15">
        <v>131.9</v>
      </c>
      <c r="W18" s="15">
        <v>114.4</v>
      </c>
      <c r="X18" s="15">
        <v>87.6</v>
      </c>
      <c r="Y18" s="15">
        <v>100.2</v>
      </c>
      <c r="Z18" s="15">
        <v>102.3</v>
      </c>
      <c r="AA18" s="15">
        <v>82.5</v>
      </c>
      <c r="AB18" s="15">
        <v>104</v>
      </c>
      <c r="AC18" s="15">
        <v>121.7</v>
      </c>
      <c r="AD18" s="41">
        <v>104.2</v>
      </c>
      <c r="AE18" s="15">
        <v>97.5</v>
      </c>
      <c r="AF18" s="69">
        <f t="shared" si="0"/>
        <v>99.91724137931034</v>
      </c>
    </row>
    <row r="21" spans="1:18" ht="12.75">
      <c r="A21" s="66">
        <v>1</v>
      </c>
      <c r="B21" s="4"/>
      <c r="C21" s="42">
        <v>1991</v>
      </c>
      <c r="D21" s="42">
        <v>1992</v>
      </c>
      <c r="E21" s="15">
        <v>1993</v>
      </c>
      <c r="F21" s="15">
        <v>1994</v>
      </c>
      <c r="G21" s="15">
        <v>1995</v>
      </c>
      <c r="H21" s="15">
        <v>1996</v>
      </c>
      <c r="I21" s="15">
        <v>1997</v>
      </c>
      <c r="J21" s="15">
        <v>1998</v>
      </c>
      <c r="K21" s="15">
        <v>1999</v>
      </c>
      <c r="L21" s="15">
        <v>2000</v>
      </c>
      <c r="M21" s="15">
        <v>2001</v>
      </c>
      <c r="N21" s="15">
        <v>2002</v>
      </c>
      <c r="O21" s="15">
        <v>2003</v>
      </c>
      <c r="P21" s="15">
        <v>2004</v>
      </c>
      <c r="Q21" s="15">
        <v>2005</v>
      </c>
      <c r="R21" s="41">
        <v>2006</v>
      </c>
    </row>
    <row r="22" spans="1:18" ht="12.75">
      <c r="A22" s="66">
        <v>2</v>
      </c>
      <c r="B22" s="4" t="s">
        <v>15</v>
      </c>
      <c r="C22" s="42">
        <v>89.3</v>
      </c>
      <c r="D22" s="42">
        <v>89.4</v>
      </c>
      <c r="E22" s="15">
        <v>88.9</v>
      </c>
      <c r="F22" s="15">
        <v>86</v>
      </c>
      <c r="G22" s="15">
        <v>87.3</v>
      </c>
      <c r="H22" s="15">
        <v>86.1</v>
      </c>
      <c r="I22" s="15">
        <v>88.3</v>
      </c>
      <c r="J22" s="15">
        <v>88.7</v>
      </c>
      <c r="K22" s="15">
        <v>88.4</v>
      </c>
      <c r="L22" s="15">
        <v>89.1</v>
      </c>
      <c r="M22" s="15">
        <v>89.1</v>
      </c>
      <c r="N22" s="15">
        <v>89.6</v>
      </c>
      <c r="O22" s="15">
        <v>89.6</v>
      </c>
      <c r="P22" s="15">
        <v>89.7</v>
      </c>
      <c r="Q22" s="15">
        <v>89.8</v>
      </c>
      <c r="R22" s="15">
        <v>89.4</v>
      </c>
    </row>
    <row r="23" spans="1:18" ht="12.75">
      <c r="A23" s="66">
        <v>3</v>
      </c>
      <c r="B23" s="4" t="s">
        <v>16</v>
      </c>
      <c r="C23" s="42">
        <v>97</v>
      </c>
      <c r="D23" s="42">
        <v>97.5</v>
      </c>
      <c r="E23" s="15">
        <v>97</v>
      </c>
      <c r="F23" s="15">
        <v>92.8</v>
      </c>
      <c r="G23" s="15">
        <v>91.2</v>
      </c>
      <c r="H23" s="15">
        <v>91</v>
      </c>
      <c r="I23" s="15">
        <v>91.3</v>
      </c>
      <c r="J23" s="15">
        <v>91.9</v>
      </c>
      <c r="K23" s="15">
        <v>91.6</v>
      </c>
      <c r="L23" s="15">
        <v>91</v>
      </c>
      <c r="M23" s="15">
        <v>91.9</v>
      </c>
      <c r="N23" s="15">
        <v>91.5</v>
      </c>
      <c r="O23" s="15">
        <v>91.2</v>
      </c>
      <c r="P23" s="15">
        <v>91.4</v>
      </c>
      <c r="Q23" s="15">
        <v>92.7</v>
      </c>
      <c r="R23" s="15">
        <v>92.9</v>
      </c>
    </row>
    <row r="24" spans="1:18" ht="12.75">
      <c r="A24" s="66">
        <v>4</v>
      </c>
      <c r="B24" s="4" t="s">
        <v>18</v>
      </c>
      <c r="C24" s="42">
        <v>117</v>
      </c>
      <c r="D24" s="42">
        <v>118.4</v>
      </c>
      <c r="E24" s="15">
        <v>118.6</v>
      </c>
      <c r="F24" s="15">
        <v>120.7</v>
      </c>
      <c r="G24" s="15">
        <v>120.8</v>
      </c>
      <c r="H24" s="15">
        <v>118.8</v>
      </c>
      <c r="I24" s="15">
        <v>118.6</v>
      </c>
      <c r="J24" s="15">
        <v>116.7</v>
      </c>
      <c r="K24" s="15">
        <v>116.7</v>
      </c>
      <c r="L24" s="15">
        <v>116.6</v>
      </c>
      <c r="M24" s="15">
        <v>115</v>
      </c>
      <c r="N24" s="15">
        <v>115</v>
      </c>
      <c r="O24" s="15">
        <v>115</v>
      </c>
      <c r="P24" s="15">
        <v>115</v>
      </c>
      <c r="Q24" s="15">
        <v>115.4</v>
      </c>
      <c r="R24" s="15">
        <v>115.6</v>
      </c>
    </row>
    <row r="25" spans="1:18" ht="12.75">
      <c r="A25" s="66">
        <v>5</v>
      </c>
      <c r="B25" s="4" t="s">
        <v>231</v>
      </c>
      <c r="C25" s="42">
        <v>126.8</v>
      </c>
      <c r="D25" s="42">
        <v>131.1</v>
      </c>
      <c r="E25" s="15">
        <v>105.4</v>
      </c>
      <c r="F25" s="15">
        <v>102</v>
      </c>
      <c r="G25" s="15">
        <v>133.9</v>
      </c>
      <c r="H25" s="15">
        <v>136.1</v>
      </c>
      <c r="I25" s="15">
        <v>104.3</v>
      </c>
      <c r="J25" s="15">
        <v>134.2</v>
      </c>
      <c r="K25" s="15">
        <v>102.3</v>
      </c>
      <c r="L25" s="15">
        <v>133.8</v>
      </c>
      <c r="M25" s="15">
        <v>102.2</v>
      </c>
      <c r="N25" s="15">
        <v>101.5</v>
      </c>
      <c r="O25" s="15">
        <v>101.8</v>
      </c>
      <c r="P25" s="15">
        <v>101.9</v>
      </c>
      <c r="Q25" s="15">
        <v>102.1</v>
      </c>
      <c r="R25" s="41">
        <v>102.4</v>
      </c>
    </row>
    <row r="26" spans="1:18" ht="12.75">
      <c r="A26" s="66">
        <v>6</v>
      </c>
      <c r="B26" s="4" t="s">
        <v>19</v>
      </c>
      <c r="C26" s="42">
        <v>103.7</v>
      </c>
      <c r="D26" s="42">
        <v>104.4</v>
      </c>
      <c r="E26" s="15">
        <v>106.1</v>
      </c>
      <c r="F26" s="15">
        <v>108.4</v>
      </c>
      <c r="G26" s="15">
        <v>108.5</v>
      </c>
      <c r="H26" s="15">
        <v>108</v>
      </c>
      <c r="I26" s="15">
        <v>108.1</v>
      </c>
      <c r="J26" s="15">
        <v>110.6</v>
      </c>
      <c r="K26" s="15">
        <v>110.9</v>
      </c>
      <c r="L26" s="15">
        <v>110.7</v>
      </c>
      <c r="M26" s="15">
        <v>111.4</v>
      </c>
      <c r="N26" s="15">
        <v>112</v>
      </c>
      <c r="O26" s="15">
        <v>113.6</v>
      </c>
      <c r="P26" s="15">
        <v>112.5</v>
      </c>
      <c r="Q26" s="15">
        <v>111.6</v>
      </c>
      <c r="R26" s="41">
        <v>111.7</v>
      </c>
    </row>
    <row r="27" spans="1:18" ht="12.75">
      <c r="A27" s="66">
        <v>7</v>
      </c>
      <c r="B27" s="4" t="s">
        <v>20</v>
      </c>
      <c r="C27" s="42">
        <v>95.7</v>
      </c>
      <c r="D27" s="42">
        <v>95.3</v>
      </c>
      <c r="E27" s="15">
        <v>94.9</v>
      </c>
      <c r="F27" s="15">
        <v>92.8</v>
      </c>
      <c r="G27" s="15">
        <v>92.2</v>
      </c>
      <c r="H27" s="15">
        <v>91.9</v>
      </c>
      <c r="I27" s="15">
        <v>92.5</v>
      </c>
      <c r="J27" s="15">
        <v>92.5</v>
      </c>
      <c r="K27" s="15">
        <v>92.5</v>
      </c>
      <c r="L27" s="15">
        <v>92.7</v>
      </c>
      <c r="M27" s="15">
        <v>94.6</v>
      </c>
      <c r="N27" s="15">
        <v>94.4</v>
      </c>
      <c r="O27" s="15">
        <v>94.4</v>
      </c>
      <c r="P27" s="15">
        <v>94</v>
      </c>
      <c r="Q27" s="15">
        <v>93.6</v>
      </c>
      <c r="R27" s="15">
        <v>92.8</v>
      </c>
    </row>
    <row r="28" spans="1:18" ht="12.75">
      <c r="A28" s="66">
        <v>8</v>
      </c>
      <c r="B28" s="4" t="s">
        <v>21</v>
      </c>
      <c r="C28" s="42">
        <v>106.9</v>
      </c>
      <c r="D28" s="42">
        <v>105.8</v>
      </c>
      <c r="E28" s="15">
        <v>106.7</v>
      </c>
      <c r="F28" s="15">
        <v>102.4</v>
      </c>
      <c r="G28" s="15">
        <v>101.1</v>
      </c>
      <c r="H28" s="15">
        <v>101.6</v>
      </c>
      <c r="I28" s="15">
        <v>101.2</v>
      </c>
      <c r="J28" s="15">
        <v>100.9</v>
      </c>
      <c r="K28" s="15">
        <v>101.9</v>
      </c>
      <c r="L28" s="15">
        <v>102.4</v>
      </c>
      <c r="M28" s="15">
        <v>102.9</v>
      </c>
      <c r="N28" s="15">
        <v>102.7</v>
      </c>
      <c r="O28" s="15">
        <v>102.7</v>
      </c>
      <c r="P28" s="15">
        <v>102.2</v>
      </c>
      <c r="Q28" s="15">
        <v>101.1</v>
      </c>
      <c r="R28" s="15">
        <v>100.4</v>
      </c>
    </row>
    <row r="29" spans="1:18" ht="12.75">
      <c r="A29" s="66">
        <v>9</v>
      </c>
      <c r="B29" s="4" t="s">
        <v>232</v>
      </c>
      <c r="C29" s="42">
        <v>97.4</v>
      </c>
      <c r="D29" s="42">
        <v>97.5</v>
      </c>
      <c r="E29" s="15">
        <v>96.8</v>
      </c>
      <c r="F29" s="15">
        <v>93.5</v>
      </c>
      <c r="G29" s="15">
        <v>93.5</v>
      </c>
      <c r="H29" s="15">
        <v>93.3</v>
      </c>
      <c r="I29" s="15">
        <v>93.8</v>
      </c>
      <c r="J29" s="15">
        <v>94.2</v>
      </c>
      <c r="K29" s="15">
        <v>94.1</v>
      </c>
      <c r="L29" s="15">
        <v>94.4</v>
      </c>
      <c r="M29" s="15">
        <v>95.5</v>
      </c>
      <c r="N29" s="15">
        <v>95.5</v>
      </c>
      <c r="O29" s="15">
        <v>95.8</v>
      </c>
      <c r="P29" s="15">
        <v>95.2</v>
      </c>
      <c r="Q29" s="15">
        <v>94.5</v>
      </c>
      <c r="R29" s="15">
        <v>93.9</v>
      </c>
    </row>
    <row r="30" spans="1:18" ht="12.75">
      <c r="A30" s="66">
        <v>10</v>
      </c>
      <c r="B30" s="4" t="s">
        <v>22</v>
      </c>
      <c r="C30" s="42">
        <v>87.7</v>
      </c>
      <c r="D30" s="42">
        <v>86.4</v>
      </c>
      <c r="E30" s="15">
        <v>85.3</v>
      </c>
      <c r="F30" s="15">
        <v>87.6</v>
      </c>
      <c r="G30" s="15">
        <v>86.3</v>
      </c>
      <c r="H30" s="15">
        <v>86.2</v>
      </c>
      <c r="I30" s="15">
        <v>86.4</v>
      </c>
      <c r="J30" s="15">
        <v>86.5</v>
      </c>
      <c r="K30" s="15">
        <v>86.7</v>
      </c>
      <c r="L30" s="15">
        <v>86.8</v>
      </c>
      <c r="M30" s="15">
        <v>85</v>
      </c>
      <c r="N30" s="15">
        <v>85.2</v>
      </c>
      <c r="O30" s="15">
        <v>84.6</v>
      </c>
      <c r="P30" s="15">
        <v>84.3</v>
      </c>
      <c r="Q30" s="15">
        <v>84.3</v>
      </c>
      <c r="R30" s="15">
        <v>84.4</v>
      </c>
    </row>
    <row r="31" spans="1:18" ht="12.75">
      <c r="A31" s="66">
        <v>11</v>
      </c>
      <c r="B31" s="4" t="s">
        <v>23</v>
      </c>
      <c r="C31" s="42">
        <v>92.5</v>
      </c>
      <c r="D31" s="42">
        <v>91.5</v>
      </c>
      <c r="E31" s="15">
        <v>91</v>
      </c>
      <c r="F31" s="15">
        <v>93.6</v>
      </c>
      <c r="G31" s="15">
        <v>92.7</v>
      </c>
      <c r="H31" s="15">
        <v>93.2</v>
      </c>
      <c r="I31" s="15">
        <v>93.1</v>
      </c>
      <c r="J31" s="15">
        <v>93.7</v>
      </c>
      <c r="K31" s="15">
        <v>93.6</v>
      </c>
      <c r="L31" s="15">
        <v>94.2</v>
      </c>
      <c r="M31" s="15">
        <v>95.2</v>
      </c>
      <c r="N31" s="15">
        <v>95.3</v>
      </c>
      <c r="O31" s="15">
        <v>95.9</v>
      </c>
      <c r="P31" s="15">
        <v>95.8</v>
      </c>
      <c r="Q31" s="15">
        <v>95.8</v>
      </c>
      <c r="R31" s="15">
        <v>95.8</v>
      </c>
    </row>
    <row r="32" spans="1:18" ht="12.75">
      <c r="A32" s="66">
        <v>12</v>
      </c>
      <c r="B32" s="4" t="s">
        <v>24</v>
      </c>
      <c r="C32" s="42">
        <v>106.1</v>
      </c>
      <c r="D32" s="42">
        <v>107.5</v>
      </c>
      <c r="E32" s="15">
        <v>107.9</v>
      </c>
      <c r="F32" s="15">
        <v>105</v>
      </c>
      <c r="G32" s="15">
        <v>104.7</v>
      </c>
      <c r="H32" s="15">
        <v>105.4</v>
      </c>
      <c r="I32" s="15">
        <v>105.2</v>
      </c>
      <c r="J32" s="15">
        <v>105.4</v>
      </c>
      <c r="K32" s="15">
        <v>104.3</v>
      </c>
      <c r="L32" s="15">
        <v>105.4</v>
      </c>
      <c r="M32" s="15">
        <v>106.2</v>
      </c>
      <c r="N32" s="15">
        <v>106.5</v>
      </c>
      <c r="O32" s="15">
        <v>107.6</v>
      </c>
      <c r="P32" s="15">
        <v>107.2</v>
      </c>
      <c r="Q32" s="15">
        <v>107</v>
      </c>
      <c r="R32" s="15">
        <v>107.3</v>
      </c>
    </row>
    <row r="33" spans="1:18" ht="12.75">
      <c r="A33" s="66">
        <v>13</v>
      </c>
      <c r="B33" s="4" t="s">
        <v>233</v>
      </c>
      <c r="C33" s="42">
        <v>89.9</v>
      </c>
      <c r="D33" s="42">
        <v>89.9</v>
      </c>
      <c r="E33" s="15">
        <v>89.9</v>
      </c>
      <c r="F33" s="15">
        <v>91</v>
      </c>
      <c r="G33" s="15">
        <v>90.7</v>
      </c>
      <c r="H33" s="15">
        <v>90.2</v>
      </c>
      <c r="I33" s="15">
        <v>89.7</v>
      </c>
      <c r="J33" s="15">
        <v>89.5</v>
      </c>
      <c r="K33" s="15">
        <v>89.3</v>
      </c>
      <c r="L33" s="15">
        <v>89.4</v>
      </c>
      <c r="M33" s="15">
        <v>87.7</v>
      </c>
      <c r="N33" s="15">
        <v>88.3</v>
      </c>
      <c r="O33" s="15">
        <v>87.5</v>
      </c>
      <c r="P33" s="15">
        <v>87</v>
      </c>
      <c r="Q33" s="15">
        <v>87.2</v>
      </c>
      <c r="R33" s="15">
        <v>87.7</v>
      </c>
    </row>
    <row r="34" spans="1:18" ht="12.75">
      <c r="A34" s="66">
        <v>14</v>
      </c>
      <c r="B34" s="4" t="s">
        <v>234</v>
      </c>
      <c r="C34" s="42">
        <v>97.1</v>
      </c>
      <c r="D34" s="42">
        <v>97.4</v>
      </c>
      <c r="E34" s="15">
        <v>97.7</v>
      </c>
      <c r="F34" s="15">
        <v>93.4</v>
      </c>
      <c r="G34" s="15">
        <v>94.6</v>
      </c>
      <c r="H34" s="15">
        <v>94.8</v>
      </c>
      <c r="I34" s="15">
        <v>94.1</v>
      </c>
      <c r="J34" s="15">
        <v>95.4</v>
      </c>
      <c r="K34" s="15">
        <v>95.4</v>
      </c>
      <c r="L34" s="15">
        <v>94.5</v>
      </c>
      <c r="M34" s="15">
        <v>94.9</v>
      </c>
      <c r="N34" s="15">
        <v>95.9</v>
      </c>
      <c r="O34" s="15">
        <v>94.6</v>
      </c>
      <c r="P34" s="15">
        <v>94.3</v>
      </c>
      <c r="Q34" s="15">
        <v>94.2</v>
      </c>
      <c r="R34" s="15">
        <v>93.7</v>
      </c>
    </row>
    <row r="35" spans="1:18" ht="12.75">
      <c r="A35" s="66">
        <v>15</v>
      </c>
      <c r="B35" s="4" t="s">
        <v>25</v>
      </c>
      <c r="C35" s="42">
        <v>97.8</v>
      </c>
      <c r="D35" s="42">
        <v>96.7</v>
      </c>
      <c r="E35" s="15">
        <v>96.6</v>
      </c>
      <c r="F35" s="15">
        <v>93.8</v>
      </c>
      <c r="G35" s="15">
        <v>94.4</v>
      </c>
      <c r="H35" s="15">
        <v>94.8</v>
      </c>
      <c r="I35" s="15">
        <v>94.9</v>
      </c>
      <c r="J35" s="15">
        <v>95.4</v>
      </c>
      <c r="K35" s="15">
        <v>98.6</v>
      </c>
      <c r="L35" s="15">
        <v>98.4</v>
      </c>
      <c r="M35" s="15">
        <v>100</v>
      </c>
      <c r="N35" s="15">
        <v>100.7</v>
      </c>
      <c r="O35" s="15">
        <v>101.7</v>
      </c>
      <c r="P35" s="15">
        <v>102</v>
      </c>
      <c r="Q35" s="15">
        <v>103.4</v>
      </c>
      <c r="R35" s="15">
        <v>103.5</v>
      </c>
    </row>
    <row r="36" spans="1:18" ht="12.75">
      <c r="A36" s="66">
        <v>16</v>
      </c>
      <c r="B36" s="4" t="s">
        <v>26</v>
      </c>
      <c r="C36" s="42">
        <v>112.3</v>
      </c>
      <c r="D36" s="42">
        <v>113.3</v>
      </c>
      <c r="E36" s="15">
        <v>112.7</v>
      </c>
      <c r="F36" s="15">
        <v>115.2</v>
      </c>
      <c r="G36" s="15">
        <v>115.2</v>
      </c>
      <c r="H36" s="15">
        <v>113.3</v>
      </c>
      <c r="I36" s="15">
        <v>112.3</v>
      </c>
      <c r="J36" s="15">
        <v>111.2</v>
      </c>
      <c r="K36" s="15">
        <v>110.6</v>
      </c>
      <c r="L36" s="15">
        <v>109.6</v>
      </c>
      <c r="M36" s="15">
        <v>108.5</v>
      </c>
      <c r="N36" s="15">
        <v>108.3</v>
      </c>
      <c r="O36" s="15">
        <v>107.5</v>
      </c>
      <c r="P36" s="15">
        <v>108.3</v>
      </c>
      <c r="Q36" s="15">
        <v>106.8</v>
      </c>
      <c r="R36" s="15">
        <v>106.8</v>
      </c>
    </row>
    <row r="37" spans="1:18" ht="12.75">
      <c r="A37" s="66">
        <v>17</v>
      </c>
      <c r="B37" s="4" t="s">
        <v>235</v>
      </c>
      <c r="C37" s="42">
        <v>86.8</v>
      </c>
      <c r="D37" s="42">
        <v>86.5</v>
      </c>
      <c r="E37" s="15">
        <v>86.8</v>
      </c>
      <c r="F37" s="15">
        <v>86.5</v>
      </c>
      <c r="G37" s="15">
        <v>86.5</v>
      </c>
      <c r="H37" s="15">
        <v>86.3</v>
      </c>
      <c r="I37" s="15">
        <v>86.3</v>
      </c>
      <c r="J37" s="15">
        <v>85.9</v>
      </c>
      <c r="K37" s="15">
        <v>85.7</v>
      </c>
      <c r="L37" s="15">
        <v>84.9</v>
      </c>
      <c r="M37" s="15">
        <v>86</v>
      </c>
      <c r="N37" s="15">
        <v>84.4</v>
      </c>
      <c r="O37" s="15">
        <v>85.7</v>
      </c>
      <c r="P37" s="15">
        <v>86.7</v>
      </c>
      <c r="Q37" s="15">
        <v>87.8</v>
      </c>
      <c r="R37" s="15">
        <v>87.5</v>
      </c>
    </row>
    <row r="38" spans="1:18" ht="12.75">
      <c r="A38" s="66">
        <v>18</v>
      </c>
      <c r="B38" s="4" t="s">
        <v>27</v>
      </c>
      <c r="C38" s="42">
        <v>100.4</v>
      </c>
      <c r="D38" s="42">
        <v>100</v>
      </c>
      <c r="E38" s="15">
        <v>99.1</v>
      </c>
      <c r="F38" s="15">
        <v>109.2</v>
      </c>
      <c r="G38" s="15">
        <v>106.2</v>
      </c>
      <c r="H38" s="15">
        <v>111</v>
      </c>
      <c r="I38" s="15">
        <v>110.1</v>
      </c>
      <c r="J38" s="15">
        <v>110.2</v>
      </c>
      <c r="K38" s="15">
        <v>109</v>
      </c>
      <c r="L38" s="15">
        <v>110.3</v>
      </c>
      <c r="M38" s="15">
        <v>111.6</v>
      </c>
      <c r="N38" s="15">
        <v>108</v>
      </c>
      <c r="O38" s="15">
        <v>113.2</v>
      </c>
      <c r="P38" s="15">
        <v>113.4</v>
      </c>
      <c r="Q38" s="15">
        <v>112.6</v>
      </c>
      <c r="R38" s="15">
        <v>112.2</v>
      </c>
    </row>
    <row r="39" spans="1:18" ht="12.75">
      <c r="A39" s="66">
        <v>19</v>
      </c>
      <c r="B39" s="4" t="s">
        <v>236</v>
      </c>
      <c r="C39" s="42">
        <v>84.1</v>
      </c>
      <c r="D39" s="42">
        <v>84.4</v>
      </c>
      <c r="E39" s="15">
        <v>83.7</v>
      </c>
      <c r="F39" s="15">
        <v>82.3</v>
      </c>
      <c r="G39" s="15">
        <v>82.4</v>
      </c>
      <c r="H39" s="15">
        <v>83.9</v>
      </c>
      <c r="I39" s="15">
        <v>84.8</v>
      </c>
      <c r="J39" s="15">
        <v>85.4</v>
      </c>
      <c r="K39" s="15">
        <v>85</v>
      </c>
      <c r="L39" s="15">
        <v>84.4</v>
      </c>
      <c r="M39" s="15">
        <v>85.7</v>
      </c>
      <c r="N39" s="15">
        <v>86.1</v>
      </c>
      <c r="O39" s="15">
        <v>86.2</v>
      </c>
      <c r="P39" s="15">
        <v>87.2</v>
      </c>
      <c r="Q39" s="15">
        <v>87.1</v>
      </c>
      <c r="R39" s="15">
        <v>86.9</v>
      </c>
    </row>
    <row r="40" spans="1:18" ht="12.75">
      <c r="A40" s="66">
        <v>20</v>
      </c>
      <c r="B40" s="4" t="s">
        <v>28</v>
      </c>
      <c r="C40" s="42">
        <v>87.8</v>
      </c>
      <c r="D40" s="42">
        <v>85.9</v>
      </c>
      <c r="E40" s="15">
        <v>85.5</v>
      </c>
      <c r="F40" s="15">
        <v>87.7</v>
      </c>
      <c r="G40" s="15">
        <v>86.9</v>
      </c>
      <c r="H40" s="15">
        <v>86.3</v>
      </c>
      <c r="I40" s="15">
        <v>86.5</v>
      </c>
      <c r="J40" s="15">
        <v>86.2</v>
      </c>
      <c r="K40" s="15">
        <v>85.4</v>
      </c>
      <c r="L40" s="15">
        <v>85.3</v>
      </c>
      <c r="M40" s="15">
        <v>85.7</v>
      </c>
      <c r="N40" s="15">
        <v>85.5</v>
      </c>
      <c r="O40" s="15">
        <v>86.7</v>
      </c>
      <c r="P40" s="15">
        <v>86</v>
      </c>
      <c r="Q40" s="15">
        <v>86.4</v>
      </c>
      <c r="R40" s="15">
        <v>86.4</v>
      </c>
    </row>
    <row r="41" spans="1:18" ht="12.75">
      <c r="A41" s="66">
        <v>21</v>
      </c>
      <c r="B41" s="4" t="s">
        <v>29</v>
      </c>
      <c r="C41" s="42">
        <v>126.8</v>
      </c>
      <c r="D41" s="42">
        <v>131.1</v>
      </c>
      <c r="E41" s="15">
        <v>133.4</v>
      </c>
      <c r="F41" s="15">
        <v>132.6</v>
      </c>
      <c r="G41" s="15">
        <v>133.9</v>
      </c>
      <c r="H41" s="15">
        <v>136.1</v>
      </c>
      <c r="I41" s="15">
        <v>135.2</v>
      </c>
      <c r="J41" s="15">
        <v>134.2</v>
      </c>
      <c r="K41" s="15">
        <v>133.9</v>
      </c>
      <c r="L41" s="15">
        <v>133.8</v>
      </c>
      <c r="M41" s="15">
        <v>134.5</v>
      </c>
      <c r="N41" s="15">
        <v>134.6</v>
      </c>
      <c r="O41" s="15">
        <v>132.6</v>
      </c>
      <c r="P41" s="15">
        <v>134</v>
      </c>
      <c r="Q41" s="15">
        <v>132.4</v>
      </c>
      <c r="R41" s="15">
        <v>131.9</v>
      </c>
    </row>
    <row r="42" spans="1:18" ht="12.75">
      <c r="A42" s="66">
        <v>22</v>
      </c>
      <c r="B42" s="4" t="s">
        <v>30</v>
      </c>
      <c r="C42" s="42">
        <v>109.4</v>
      </c>
      <c r="D42" s="42">
        <v>109.5</v>
      </c>
      <c r="E42" s="15">
        <v>109.9</v>
      </c>
      <c r="F42" s="15">
        <v>109.1</v>
      </c>
      <c r="G42" s="15">
        <v>111.6</v>
      </c>
      <c r="H42" s="15">
        <v>109.7</v>
      </c>
      <c r="I42" s="15">
        <v>110.8</v>
      </c>
      <c r="J42" s="15">
        <v>110.4</v>
      </c>
      <c r="K42" s="15">
        <v>111.9</v>
      </c>
      <c r="L42" s="15">
        <v>111.9</v>
      </c>
      <c r="M42" s="15">
        <v>111.4</v>
      </c>
      <c r="N42" s="15">
        <v>111.2</v>
      </c>
      <c r="O42" s="15">
        <v>111.4</v>
      </c>
      <c r="P42" s="15">
        <v>112.1</v>
      </c>
      <c r="Q42" s="15">
        <v>113.6</v>
      </c>
      <c r="R42" s="15">
        <v>114.4</v>
      </c>
    </row>
    <row r="43" spans="1:18" ht="12.75">
      <c r="A43" s="66">
        <v>23</v>
      </c>
      <c r="B43" s="4" t="s">
        <v>237</v>
      </c>
      <c r="C43" s="42">
        <v>91.1</v>
      </c>
      <c r="D43" s="42">
        <v>90.1</v>
      </c>
      <c r="E43" s="15">
        <v>89.8</v>
      </c>
      <c r="F43" s="15">
        <v>90.5</v>
      </c>
      <c r="G43" s="15">
        <v>91.1</v>
      </c>
      <c r="H43" s="15">
        <v>90.5</v>
      </c>
      <c r="I43" s="15">
        <v>91.2</v>
      </c>
      <c r="J43" s="15">
        <v>89.6</v>
      </c>
      <c r="K43" s="15">
        <v>90.2</v>
      </c>
      <c r="L43" s="15">
        <v>89.5</v>
      </c>
      <c r="M43" s="15">
        <v>89.3</v>
      </c>
      <c r="N43" s="15">
        <v>89.4</v>
      </c>
      <c r="O43" s="15">
        <v>88.3</v>
      </c>
      <c r="P43" s="15">
        <v>87.9</v>
      </c>
      <c r="Q43" s="15">
        <v>87.7</v>
      </c>
      <c r="R43" s="15">
        <v>87.6</v>
      </c>
    </row>
    <row r="44" spans="1:18" ht="12.75">
      <c r="A44" s="66">
        <v>24</v>
      </c>
      <c r="B44" s="4" t="s">
        <v>31</v>
      </c>
      <c r="C44" s="42">
        <v>100.2</v>
      </c>
      <c r="D44" s="42">
        <v>100.4</v>
      </c>
      <c r="E44" s="15">
        <v>101.4</v>
      </c>
      <c r="F44" s="15">
        <v>99.9</v>
      </c>
      <c r="G44" s="15">
        <v>100.6</v>
      </c>
      <c r="H44" s="15">
        <v>101.9</v>
      </c>
      <c r="I44" s="15">
        <v>102.5</v>
      </c>
      <c r="J44" s="15">
        <v>103.2</v>
      </c>
      <c r="K44" s="15">
        <v>102.5</v>
      </c>
      <c r="L44" s="15">
        <v>102.4</v>
      </c>
      <c r="M44" s="15">
        <v>101.4</v>
      </c>
      <c r="N44" s="15">
        <v>101.7</v>
      </c>
      <c r="O44" s="15">
        <v>100.2</v>
      </c>
      <c r="P44" s="15">
        <v>100.5</v>
      </c>
      <c r="Q44" s="15">
        <v>99.9</v>
      </c>
      <c r="R44" s="15">
        <v>100.2</v>
      </c>
    </row>
    <row r="45" spans="1:18" ht="12.75">
      <c r="A45" s="66">
        <v>25</v>
      </c>
      <c r="B45" s="4" t="s">
        <v>34</v>
      </c>
      <c r="C45" s="42">
        <v>102.2</v>
      </c>
      <c r="D45" s="42">
        <v>101.5</v>
      </c>
      <c r="E45" s="15">
        <v>100.9</v>
      </c>
      <c r="F45" s="15">
        <v>99.5</v>
      </c>
      <c r="G45" s="15">
        <v>100.9</v>
      </c>
      <c r="H45" s="15">
        <v>100.7</v>
      </c>
      <c r="I45" s="15">
        <v>101.5</v>
      </c>
      <c r="J45" s="15">
        <v>102.3</v>
      </c>
      <c r="K45" s="15">
        <v>102.7</v>
      </c>
      <c r="L45" s="15">
        <v>103.2</v>
      </c>
      <c r="M45" s="15">
        <v>103.2</v>
      </c>
      <c r="N45" s="15">
        <v>103</v>
      </c>
      <c r="O45" s="15">
        <v>102.3</v>
      </c>
      <c r="P45" s="15">
        <v>102.2</v>
      </c>
      <c r="Q45" s="15">
        <v>102.1</v>
      </c>
      <c r="R45" s="15">
        <v>102.3</v>
      </c>
    </row>
    <row r="46" spans="1:18" ht="12.75">
      <c r="A46" s="66">
        <v>26</v>
      </c>
      <c r="B46" s="4" t="s">
        <v>238</v>
      </c>
      <c r="C46" s="42">
        <v>85.1</v>
      </c>
      <c r="D46" s="42">
        <v>84.3</v>
      </c>
      <c r="E46" s="15">
        <v>84</v>
      </c>
      <c r="F46" s="15">
        <v>85</v>
      </c>
      <c r="G46" s="15">
        <v>83.9</v>
      </c>
      <c r="H46" s="15">
        <v>83.3</v>
      </c>
      <c r="I46" s="15">
        <v>84.7</v>
      </c>
      <c r="J46" s="15">
        <v>83.7</v>
      </c>
      <c r="K46" s="15">
        <v>83.7</v>
      </c>
      <c r="L46" s="15">
        <v>84</v>
      </c>
      <c r="M46" s="15">
        <v>82.8</v>
      </c>
      <c r="N46" s="15">
        <v>82.6</v>
      </c>
      <c r="O46" s="15">
        <v>81.1</v>
      </c>
      <c r="P46" s="15">
        <v>80.7</v>
      </c>
      <c r="Q46" s="15">
        <v>82.3</v>
      </c>
      <c r="R46" s="15">
        <v>82.5</v>
      </c>
    </row>
    <row r="47" spans="1:18" ht="12.75">
      <c r="A47" s="66">
        <v>27</v>
      </c>
      <c r="B47" s="4" t="s">
        <v>239</v>
      </c>
      <c r="C47" s="42">
        <v>108.8</v>
      </c>
      <c r="D47" s="42">
        <v>108.2</v>
      </c>
      <c r="E47" s="15">
        <v>107</v>
      </c>
      <c r="F47" s="15">
        <v>110.8</v>
      </c>
      <c r="G47" s="15">
        <v>109.6</v>
      </c>
      <c r="H47" s="15">
        <v>109.4</v>
      </c>
      <c r="I47" s="15">
        <v>108.5</v>
      </c>
      <c r="J47" s="15">
        <v>107.2</v>
      </c>
      <c r="K47" s="15">
        <v>107.1</v>
      </c>
      <c r="L47" s="15">
        <v>106.6</v>
      </c>
      <c r="M47" s="15">
        <v>106.3</v>
      </c>
      <c r="N47" s="15">
        <v>105.8</v>
      </c>
      <c r="O47" s="15">
        <v>105.5</v>
      </c>
      <c r="P47" s="15">
        <v>104.7</v>
      </c>
      <c r="Q47" s="15">
        <v>104.4</v>
      </c>
      <c r="R47" s="15">
        <v>104</v>
      </c>
    </row>
    <row r="48" spans="1:18" ht="12.75">
      <c r="A48" s="66">
        <v>28</v>
      </c>
      <c r="B48" s="4" t="s">
        <v>32</v>
      </c>
      <c r="C48" s="42">
        <v>124.9</v>
      </c>
      <c r="D48" s="42">
        <v>125.5</v>
      </c>
      <c r="E48" s="15">
        <v>124.4</v>
      </c>
      <c r="F48" s="15">
        <v>129</v>
      </c>
      <c r="G48" s="15">
        <v>127</v>
      </c>
      <c r="H48" s="15">
        <v>126.3</v>
      </c>
      <c r="I48" s="15">
        <v>125.7</v>
      </c>
      <c r="J48" s="15">
        <v>124.4</v>
      </c>
      <c r="K48" s="15">
        <v>124.2</v>
      </c>
      <c r="L48" s="15">
        <v>123.8</v>
      </c>
      <c r="M48" s="15">
        <v>122.6</v>
      </c>
      <c r="N48" s="15">
        <v>124.4</v>
      </c>
      <c r="O48" s="15">
        <v>123.6</v>
      </c>
      <c r="P48" s="15">
        <v>123.6</v>
      </c>
      <c r="Q48" s="15">
        <v>122.2</v>
      </c>
      <c r="R48" s="15">
        <v>121.7</v>
      </c>
    </row>
    <row r="49" spans="1:18" ht="12.75">
      <c r="A49" s="66">
        <v>29</v>
      </c>
      <c r="B49" s="4" t="s">
        <v>33</v>
      </c>
      <c r="C49" s="42">
        <v>102.9</v>
      </c>
      <c r="D49" s="42">
        <v>102</v>
      </c>
      <c r="E49" s="15">
        <v>102.8</v>
      </c>
      <c r="F49" s="15">
        <v>107.2</v>
      </c>
      <c r="G49" s="15">
        <v>107.2</v>
      </c>
      <c r="H49" s="15">
        <v>106</v>
      </c>
      <c r="I49" s="15">
        <v>105.4</v>
      </c>
      <c r="J49" s="15">
        <v>105.5</v>
      </c>
      <c r="K49" s="15">
        <v>104.6</v>
      </c>
      <c r="L49" s="15">
        <v>105.7</v>
      </c>
      <c r="M49" s="15">
        <v>104.4</v>
      </c>
      <c r="N49" s="15">
        <v>105.4</v>
      </c>
      <c r="O49" s="15">
        <v>103.4</v>
      </c>
      <c r="P49" s="15">
        <v>104.1</v>
      </c>
      <c r="Q49" s="15">
        <v>105</v>
      </c>
      <c r="R49" s="41">
        <v>104.2</v>
      </c>
    </row>
    <row r="50" spans="1:18" ht="12.75">
      <c r="A50" s="66">
        <v>30</v>
      </c>
      <c r="B50" s="4" t="s">
        <v>240</v>
      </c>
      <c r="C50" s="42">
        <v>96.4</v>
      </c>
      <c r="D50" s="42">
        <v>96</v>
      </c>
      <c r="E50" s="15">
        <v>95.6</v>
      </c>
      <c r="F50" s="15">
        <v>95.7</v>
      </c>
      <c r="G50" s="15">
        <v>96.6</v>
      </c>
      <c r="H50" s="15">
        <v>96.8</v>
      </c>
      <c r="I50" s="15">
        <v>95.5</v>
      </c>
      <c r="J50" s="15">
        <v>95.5</v>
      </c>
      <c r="K50" s="15">
        <v>96</v>
      </c>
      <c r="L50" s="15">
        <v>95.7</v>
      </c>
      <c r="M50" s="15">
        <v>94.8</v>
      </c>
      <c r="N50" s="15">
        <v>94.5</v>
      </c>
      <c r="O50" s="15">
        <v>95.7</v>
      </c>
      <c r="P50" s="15">
        <v>95.2</v>
      </c>
      <c r="Q50" s="15">
        <v>96.9</v>
      </c>
      <c r="R50" s="15">
        <v>97.5</v>
      </c>
    </row>
    <row r="51" spans="1:18" ht="12.75">
      <c r="A51" s="66">
        <v>31</v>
      </c>
      <c r="B51" s="4" t="s">
        <v>241</v>
      </c>
      <c r="C51" s="69">
        <f aca="true" t="shared" si="1" ref="C51:R51">AVERAGE(C22:C50)</f>
        <v>100.83103448275861</v>
      </c>
      <c r="D51" s="69">
        <f t="shared" si="1"/>
        <v>100.94827586206897</v>
      </c>
      <c r="E51" s="69">
        <f t="shared" si="1"/>
        <v>99.99310344827589</v>
      </c>
      <c r="F51" s="69">
        <f t="shared" si="1"/>
        <v>100.1103448275862</v>
      </c>
      <c r="G51" s="69">
        <f t="shared" si="1"/>
        <v>101.08620689655173</v>
      </c>
      <c r="H51" s="69">
        <f t="shared" si="1"/>
        <v>101.1344827586207</v>
      </c>
      <c r="I51" s="69">
        <f t="shared" si="1"/>
        <v>100.08620689655172</v>
      </c>
      <c r="J51" s="69">
        <f t="shared" si="1"/>
        <v>101.05172413793105</v>
      </c>
      <c r="K51" s="69">
        <f t="shared" si="1"/>
        <v>99.95862068965515</v>
      </c>
      <c r="L51" s="69">
        <f t="shared" si="1"/>
        <v>101.05172413793103</v>
      </c>
      <c r="M51" s="69">
        <f t="shared" si="1"/>
        <v>99.99310344827589</v>
      </c>
      <c r="N51" s="69">
        <f t="shared" si="1"/>
        <v>99.96551724137932</v>
      </c>
      <c r="O51" s="69">
        <f t="shared" si="1"/>
        <v>99.9793103448276</v>
      </c>
      <c r="P51" s="69">
        <f t="shared" si="1"/>
        <v>99.96896551724136</v>
      </c>
      <c r="Q51" s="69">
        <f t="shared" si="1"/>
        <v>99.99655172413793</v>
      </c>
      <c r="R51" s="69">
        <f t="shared" si="1"/>
        <v>99.91724137931034</v>
      </c>
    </row>
    <row r="53" spans="2:3" ht="12.75" customHeight="1">
      <c r="B53" s="72"/>
      <c r="C53" s="73"/>
    </row>
    <row r="54" spans="2:3" ht="25.5">
      <c r="B54" s="4" t="s">
        <v>14</v>
      </c>
      <c r="C54" s="68" t="s">
        <v>242</v>
      </c>
    </row>
    <row r="55" spans="1:3" ht="12.75">
      <c r="A55" s="66">
        <v>1</v>
      </c>
      <c r="B55" s="70">
        <v>1992</v>
      </c>
      <c r="C55" s="71">
        <v>100.94827586206897</v>
      </c>
    </row>
    <row r="56" spans="1:3" ht="12.75">
      <c r="A56" s="66">
        <v>2</v>
      </c>
      <c r="B56" s="15">
        <v>1993</v>
      </c>
      <c r="C56" s="20">
        <v>99.99310344827589</v>
      </c>
    </row>
    <row r="57" spans="1:3" ht="12.75">
      <c r="A57" s="66">
        <v>3</v>
      </c>
      <c r="B57" s="15">
        <v>1994</v>
      </c>
      <c r="C57" s="20">
        <v>100.1103448275862</v>
      </c>
    </row>
    <row r="58" spans="1:3" ht="12.75">
      <c r="A58" s="66">
        <v>4</v>
      </c>
      <c r="B58" s="15">
        <v>1995</v>
      </c>
      <c r="C58" s="20">
        <v>101.08620689655173</v>
      </c>
    </row>
    <row r="59" spans="1:3" ht="12.75">
      <c r="A59" s="66">
        <v>5</v>
      </c>
      <c r="B59" s="15">
        <v>1996</v>
      </c>
      <c r="C59" s="20">
        <v>101.1344827586207</v>
      </c>
    </row>
    <row r="60" spans="1:3" ht="12.75">
      <c r="A60" s="66">
        <v>6</v>
      </c>
      <c r="B60" s="15">
        <v>1997</v>
      </c>
      <c r="C60" s="20">
        <v>100.08620689655172</v>
      </c>
    </row>
    <row r="61" spans="1:3" ht="12.75">
      <c r="A61" s="66">
        <v>7</v>
      </c>
      <c r="B61" s="15">
        <v>1998</v>
      </c>
      <c r="C61" s="20">
        <v>101.05172413793105</v>
      </c>
    </row>
    <row r="62" spans="1:3" ht="12.75">
      <c r="A62" s="66">
        <v>8</v>
      </c>
      <c r="B62" s="15">
        <v>1999</v>
      </c>
      <c r="C62" s="20">
        <v>99.95862068965515</v>
      </c>
    </row>
    <row r="63" spans="1:3" ht="12.75">
      <c r="A63" s="66">
        <v>9</v>
      </c>
      <c r="B63" s="15">
        <v>2000</v>
      </c>
      <c r="C63" s="20">
        <v>101.05172413793103</v>
      </c>
    </row>
    <row r="64" spans="1:3" ht="12.75">
      <c r="A64" s="66">
        <v>10</v>
      </c>
      <c r="B64" s="15">
        <v>2001</v>
      </c>
      <c r="C64" s="20">
        <v>99.99310344827589</v>
      </c>
    </row>
    <row r="65" spans="1:3" ht="12.75">
      <c r="A65" s="66">
        <v>11</v>
      </c>
      <c r="B65" s="15">
        <v>2002</v>
      </c>
      <c r="C65" s="20">
        <v>99.96551724137932</v>
      </c>
    </row>
    <row r="66" spans="1:3" ht="12.75">
      <c r="A66" s="66">
        <v>12</v>
      </c>
      <c r="B66" s="15">
        <v>2003</v>
      </c>
      <c r="C66" s="20">
        <v>99.9793103448276</v>
      </c>
    </row>
    <row r="67" spans="1:3" ht="12.75">
      <c r="A67" s="66">
        <v>13</v>
      </c>
      <c r="B67" s="15">
        <v>2004</v>
      </c>
      <c r="C67" s="20">
        <v>99.96896551724136</v>
      </c>
    </row>
    <row r="68" spans="1:3" ht="12.75">
      <c r="A68" s="66">
        <v>14</v>
      </c>
      <c r="B68" s="15">
        <v>2005</v>
      </c>
      <c r="C68" s="20">
        <v>99.99655172413793</v>
      </c>
    </row>
    <row r="69" spans="1:3" ht="12.75">
      <c r="A69" s="66">
        <v>15</v>
      </c>
      <c r="B69" s="41">
        <v>2006</v>
      </c>
      <c r="C69" s="20">
        <v>99.91724137931034</v>
      </c>
    </row>
    <row r="70" ht="12.75">
      <c r="B70" s="8"/>
    </row>
    <row r="71" ht="12.75">
      <c r="B71" s="8"/>
    </row>
    <row r="72" spans="1:30" ht="12.75">
      <c r="A72" s="66">
        <v>1</v>
      </c>
      <c r="B72" s="6"/>
      <c r="C72" s="6">
        <v>1978</v>
      </c>
      <c r="D72" s="6">
        <v>1979</v>
      </c>
      <c r="E72" s="6">
        <v>1980</v>
      </c>
      <c r="F72" s="6">
        <v>1981</v>
      </c>
      <c r="G72" s="6">
        <v>1982</v>
      </c>
      <c r="H72" s="6">
        <v>1983</v>
      </c>
      <c r="I72" s="6">
        <v>1984</v>
      </c>
      <c r="J72" s="6">
        <v>1985</v>
      </c>
      <c r="K72" s="6">
        <v>1986</v>
      </c>
      <c r="L72" s="6">
        <v>1987</v>
      </c>
      <c r="M72" s="6">
        <v>1988</v>
      </c>
      <c r="N72" s="6">
        <v>1989</v>
      </c>
      <c r="O72" s="6">
        <v>1990</v>
      </c>
      <c r="P72" s="6">
        <v>1991</v>
      </c>
      <c r="Q72" s="6">
        <v>1992</v>
      </c>
      <c r="R72" s="6">
        <v>1993</v>
      </c>
      <c r="S72" s="6">
        <v>1994</v>
      </c>
      <c r="T72" s="6">
        <v>1995</v>
      </c>
      <c r="U72" s="6">
        <v>1996</v>
      </c>
      <c r="V72" s="6">
        <v>1997</v>
      </c>
      <c r="W72" s="6">
        <v>1998</v>
      </c>
      <c r="X72" s="6">
        <v>1999</v>
      </c>
      <c r="Y72" s="6">
        <v>2000</v>
      </c>
      <c r="Z72" s="6">
        <v>2001</v>
      </c>
      <c r="AA72" s="6">
        <v>2002</v>
      </c>
      <c r="AB72" s="6">
        <v>2003</v>
      </c>
      <c r="AC72" s="6">
        <v>2004</v>
      </c>
      <c r="AD72" s="6">
        <v>2005</v>
      </c>
    </row>
    <row r="73" spans="1:30" ht="12.75">
      <c r="A73" s="66">
        <v>2</v>
      </c>
      <c r="B73" s="2" t="s">
        <v>15</v>
      </c>
      <c r="C73" s="2" t="s">
        <v>37</v>
      </c>
      <c r="D73" s="2" t="s">
        <v>37</v>
      </c>
      <c r="E73" s="2" t="s">
        <v>37</v>
      </c>
      <c r="F73" s="2" t="s">
        <v>37</v>
      </c>
      <c r="G73" s="2" t="s">
        <v>37</v>
      </c>
      <c r="H73" s="2" t="s">
        <v>37</v>
      </c>
      <c r="I73" s="2" t="s">
        <v>37</v>
      </c>
      <c r="J73" s="2" t="s">
        <v>37</v>
      </c>
      <c r="K73" s="2" t="s">
        <v>37</v>
      </c>
      <c r="L73" s="2" t="s">
        <v>37</v>
      </c>
      <c r="M73" s="2" t="s">
        <v>37</v>
      </c>
      <c r="N73" s="2" t="s">
        <v>37</v>
      </c>
      <c r="O73" s="2" t="s">
        <v>37</v>
      </c>
      <c r="P73" s="78">
        <v>1.327909375429429</v>
      </c>
      <c r="Q73" s="78">
        <v>1.3184505578477685</v>
      </c>
      <c r="R73" s="78">
        <v>1.3664188067835568</v>
      </c>
      <c r="S73" s="78">
        <v>1.3540642008363717</v>
      </c>
      <c r="T73" s="78">
        <v>1.397305038859965</v>
      </c>
      <c r="U73" s="78">
        <v>1.3285555023500606</v>
      </c>
      <c r="V73" s="78">
        <v>1.392832239490274</v>
      </c>
      <c r="W73" s="78">
        <v>1.3774644803579073</v>
      </c>
      <c r="X73" s="78">
        <v>1.3920058133625908</v>
      </c>
      <c r="Y73" s="78">
        <v>1.3359494966729226</v>
      </c>
      <c r="Z73" s="78">
        <v>1.3971016811920565</v>
      </c>
      <c r="AA73" s="78">
        <v>1.3988782162720166</v>
      </c>
      <c r="AB73" s="78">
        <v>1.3713120668894323</v>
      </c>
      <c r="AC73" s="78">
        <v>1.408182522426823</v>
      </c>
      <c r="AD73" s="78">
        <v>1.4269310963026665</v>
      </c>
    </row>
    <row r="74" spans="1:30" ht="12.75">
      <c r="A74" s="66">
        <v>3</v>
      </c>
      <c r="B74" s="2" t="s">
        <v>16</v>
      </c>
      <c r="C74" s="2" t="s">
        <v>37</v>
      </c>
      <c r="D74" s="2" t="s">
        <v>37</v>
      </c>
      <c r="E74" s="2" t="s">
        <v>37</v>
      </c>
      <c r="F74" s="2" t="s">
        <v>37</v>
      </c>
      <c r="G74" s="2" t="s">
        <v>37</v>
      </c>
      <c r="H74" s="2" t="s">
        <v>37</v>
      </c>
      <c r="I74" s="2" t="s">
        <v>37</v>
      </c>
      <c r="J74" s="2" t="s">
        <v>37</v>
      </c>
      <c r="K74" s="2" t="s">
        <v>37</v>
      </c>
      <c r="L74" s="2" t="s">
        <v>37</v>
      </c>
      <c r="M74" s="2" t="s">
        <v>37</v>
      </c>
      <c r="N74" s="2" t="s">
        <v>37</v>
      </c>
      <c r="O74" s="2" t="s">
        <v>37</v>
      </c>
      <c r="P74" s="78">
        <v>1.2055642996595586</v>
      </c>
      <c r="Q74" s="78">
        <v>1.2044413565534087</v>
      </c>
      <c r="R74" s="78">
        <v>1.211493630987658</v>
      </c>
      <c r="S74" s="78">
        <v>1.19389188057292</v>
      </c>
      <c r="T74" s="78">
        <v>1.1412941705387094</v>
      </c>
      <c r="U74" s="78">
        <v>1.1127340731518909</v>
      </c>
      <c r="V74" s="78">
        <v>1.1804590482658384</v>
      </c>
      <c r="W74" s="78">
        <v>1.187341307907031</v>
      </c>
      <c r="X74" s="78">
        <v>1.2165009608778836</v>
      </c>
      <c r="Y74" s="78">
        <v>1.2361190471467027</v>
      </c>
      <c r="Z74" s="78">
        <v>1.283409699224972</v>
      </c>
      <c r="AA74" s="78">
        <v>1.3065802568251452</v>
      </c>
      <c r="AB74" s="78">
        <v>1.2671654132237764</v>
      </c>
      <c r="AC74" s="78">
        <v>1.30654461105432</v>
      </c>
      <c r="AD74" s="78">
        <v>1.3073743587020348</v>
      </c>
    </row>
    <row r="75" spans="1:30" ht="12.75">
      <c r="A75" s="66">
        <v>4</v>
      </c>
      <c r="B75" s="2" t="s">
        <v>17</v>
      </c>
      <c r="C75" s="2" t="s">
        <v>37</v>
      </c>
      <c r="D75" s="2" t="s">
        <v>37</v>
      </c>
      <c r="E75" s="2" t="s">
        <v>37</v>
      </c>
      <c r="F75" s="2" t="s">
        <v>37</v>
      </c>
      <c r="G75" s="2" t="s">
        <v>37</v>
      </c>
      <c r="H75" s="2" t="s">
        <v>37</v>
      </c>
      <c r="I75" s="2" t="s">
        <v>37</v>
      </c>
      <c r="J75" s="2" t="s">
        <v>37</v>
      </c>
      <c r="K75" s="2" t="s">
        <v>37</v>
      </c>
      <c r="L75" s="2" t="s">
        <v>37</v>
      </c>
      <c r="M75" s="2" t="s">
        <v>37</v>
      </c>
      <c r="N75" s="2" t="s">
        <v>37</v>
      </c>
      <c r="O75" s="2" t="s">
        <v>37</v>
      </c>
      <c r="P75" s="78" t="s">
        <v>37</v>
      </c>
      <c r="Q75" s="78" t="s">
        <v>37</v>
      </c>
      <c r="R75" s="78" t="s">
        <v>37</v>
      </c>
      <c r="S75" s="78" t="s">
        <v>37</v>
      </c>
      <c r="T75" s="78" t="s">
        <v>37</v>
      </c>
      <c r="U75" s="78" t="s">
        <v>37</v>
      </c>
      <c r="V75" s="78" t="s">
        <v>37</v>
      </c>
      <c r="W75" s="78" t="s">
        <v>37</v>
      </c>
      <c r="X75" s="78" t="s">
        <v>37</v>
      </c>
      <c r="Y75" s="78" t="s">
        <v>37</v>
      </c>
      <c r="Z75" s="78" t="s">
        <v>37</v>
      </c>
      <c r="AA75" s="78" t="s">
        <v>37</v>
      </c>
      <c r="AB75" s="78" t="s">
        <v>37</v>
      </c>
      <c r="AC75" s="78" t="s">
        <v>37</v>
      </c>
      <c r="AD75" s="78" t="s">
        <v>37</v>
      </c>
    </row>
    <row r="76" spans="1:30" ht="12.75">
      <c r="A76" s="66">
        <v>5</v>
      </c>
      <c r="B76" s="2" t="s">
        <v>18</v>
      </c>
      <c r="C76" s="2" t="s">
        <v>37</v>
      </c>
      <c r="D76" s="2" t="s">
        <v>37</v>
      </c>
      <c r="E76" s="2" t="s">
        <v>37</v>
      </c>
      <c r="F76" s="2" t="s">
        <v>37</v>
      </c>
      <c r="G76" s="2" t="s">
        <v>37</v>
      </c>
      <c r="H76" s="2" t="s">
        <v>37</v>
      </c>
      <c r="I76" s="2" t="s">
        <v>37</v>
      </c>
      <c r="J76" s="2" t="s">
        <v>37</v>
      </c>
      <c r="K76" s="2" t="s">
        <v>37</v>
      </c>
      <c r="L76" s="2" t="s">
        <v>37</v>
      </c>
      <c r="M76" s="2" t="s">
        <v>37</v>
      </c>
      <c r="N76" s="2" t="s">
        <v>37</v>
      </c>
      <c r="O76" s="2" t="s">
        <v>37</v>
      </c>
      <c r="P76" s="78">
        <v>0.9803977726923672</v>
      </c>
      <c r="Q76" s="78">
        <v>0.9788168814593795</v>
      </c>
      <c r="R76" s="78">
        <v>0.9685335482873084</v>
      </c>
      <c r="S76" s="78">
        <v>1.018100417683743</v>
      </c>
      <c r="T76" s="78">
        <v>1.0203943500367596</v>
      </c>
      <c r="U76" s="78">
        <v>0.9748184114471293</v>
      </c>
      <c r="V76" s="78">
        <v>1.0231803849556589</v>
      </c>
      <c r="W76" s="78">
        <v>0.9878192284840108</v>
      </c>
      <c r="X76" s="78">
        <v>0.9957572835016443</v>
      </c>
      <c r="Y76" s="78">
        <v>1.027421200004795</v>
      </c>
      <c r="Z76" s="78">
        <v>1.0358632652002806</v>
      </c>
      <c r="AA76" s="78">
        <v>0.9966453214754475</v>
      </c>
      <c r="AB76" s="78">
        <v>0.9653468102716115</v>
      </c>
      <c r="AC76" s="78">
        <v>0.9961661659063485</v>
      </c>
      <c r="AD76" s="78">
        <v>1.0157584280014265</v>
      </c>
    </row>
    <row r="77" spans="1:30" ht="12.75">
      <c r="A77" s="66">
        <v>6</v>
      </c>
      <c r="B77" s="2" t="s">
        <v>19</v>
      </c>
      <c r="C77" s="2" t="s">
        <v>37</v>
      </c>
      <c r="D77" s="2" t="s">
        <v>37</v>
      </c>
      <c r="E77" s="2" t="s">
        <v>37</v>
      </c>
      <c r="F77" s="2" t="s">
        <v>37</v>
      </c>
      <c r="G77" s="2" t="s">
        <v>37</v>
      </c>
      <c r="H77" s="2" t="s">
        <v>37</v>
      </c>
      <c r="I77" s="2" t="s">
        <v>37</v>
      </c>
      <c r="J77" s="2" t="s">
        <v>37</v>
      </c>
      <c r="K77" s="2" t="s">
        <v>37</v>
      </c>
      <c r="L77" s="2" t="s">
        <v>37</v>
      </c>
      <c r="M77" s="2" t="s">
        <v>37</v>
      </c>
      <c r="N77" s="2" t="s">
        <v>37</v>
      </c>
      <c r="O77" s="2" t="s">
        <v>37</v>
      </c>
      <c r="P77" s="78">
        <v>1.1292849799053273</v>
      </c>
      <c r="Q77" s="78">
        <v>1.1470936411941801</v>
      </c>
      <c r="R77" s="78">
        <v>0.921030617488301</v>
      </c>
      <c r="S77" s="78">
        <v>0.8919147581135447</v>
      </c>
      <c r="T77" s="78">
        <v>1.1441478049852392</v>
      </c>
      <c r="U77" s="78">
        <v>1.1215338795007508</v>
      </c>
      <c r="V77" s="78">
        <v>0.9163054491840154</v>
      </c>
      <c r="W77" s="78">
        <v>1.1093549184383678</v>
      </c>
      <c r="X77" s="78">
        <v>0.8306984329104112</v>
      </c>
      <c r="Y77" s="78">
        <v>1.063127169011314</v>
      </c>
      <c r="Z77" s="78">
        <v>0.8441814963465142</v>
      </c>
      <c r="AA77" s="78">
        <v>0.8334223569763836</v>
      </c>
      <c r="AB77" s="78">
        <v>0.816427263343412</v>
      </c>
      <c r="AC77" s="78">
        <v>0.8124094194314881</v>
      </c>
      <c r="AD77" s="78">
        <v>0.7984672426440833</v>
      </c>
    </row>
    <row r="78" spans="1:30" ht="12.75">
      <c r="A78" s="66">
        <v>7</v>
      </c>
      <c r="B78" s="2" t="s">
        <v>20</v>
      </c>
      <c r="C78" s="2" t="s">
        <v>37</v>
      </c>
      <c r="D78" s="2" t="s">
        <v>37</v>
      </c>
      <c r="E78" s="2" t="s">
        <v>37</v>
      </c>
      <c r="F78" s="2" t="s">
        <v>37</v>
      </c>
      <c r="G78" s="2" t="s">
        <v>37</v>
      </c>
      <c r="H78" s="2" t="s">
        <v>37</v>
      </c>
      <c r="I78" s="2" t="s">
        <v>37</v>
      </c>
      <c r="J78" s="2" t="s">
        <v>37</v>
      </c>
      <c r="K78" s="2" t="s">
        <v>37</v>
      </c>
      <c r="L78" s="2" t="s">
        <v>37</v>
      </c>
      <c r="M78" s="2" t="s">
        <v>37</v>
      </c>
      <c r="N78" s="2" t="s">
        <v>37</v>
      </c>
      <c r="O78" s="2" t="s">
        <v>37</v>
      </c>
      <c r="P78" s="78">
        <v>0.9157588487404276</v>
      </c>
      <c r="Q78" s="78">
        <v>0.9034201917642672</v>
      </c>
      <c r="R78" s="78">
        <v>0.9251760227812558</v>
      </c>
      <c r="S78" s="78">
        <v>0.9107377715642966</v>
      </c>
      <c r="T78" s="78">
        <v>0.9155132001439671</v>
      </c>
      <c r="U78" s="78">
        <v>0.9304100047696164</v>
      </c>
      <c r="V78" s="78">
        <v>0.9640475951188676</v>
      </c>
      <c r="W78" s="78">
        <v>0.9606107546773259</v>
      </c>
      <c r="X78" s="78">
        <v>0.9521674389870991</v>
      </c>
      <c r="Y78" s="78">
        <v>0.9440778435302456</v>
      </c>
      <c r="Z78" s="78">
        <v>1.0243716165955394</v>
      </c>
      <c r="AA78" s="78">
        <v>1.0029550889079248</v>
      </c>
      <c r="AB78" s="78">
        <v>1.0053354877606364</v>
      </c>
      <c r="AC78" s="78">
        <v>1.0156266147276294</v>
      </c>
      <c r="AD78" s="78">
        <v>0.9775882717497086</v>
      </c>
    </row>
    <row r="79" spans="1:30" ht="12.75">
      <c r="A79" s="66">
        <v>8</v>
      </c>
      <c r="B79" s="2" t="s">
        <v>21</v>
      </c>
      <c r="C79" s="2" t="s">
        <v>37</v>
      </c>
      <c r="D79" s="2" t="s">
        <v>37</v>
      </c>
      <c r="E79" s="2" t="s">
        <v>37</v>
      </c>
      <c r="F79" s="2" t="s">
        <v>37</v>
      </c>
      <c r="G79" s="2" t="s">
        <v>37</v>
      </c>
      <c r="H79" s="2" t="s">
        <v>37</v>
      </c>
      <c r="I79" s="2" t="s">
        <v>37</v>
      </c>
      <c r="J79" s="2" t="s">
        <v>37</v>
      </c>
      <c r="K79" s="2" t="s">
        <v>37</v>
      </c>
      <c r="L79" s="2" t="s">
        <v>37</v>
      </c>
      <c r="M79" s="2" t="s">
        <v>37</v>
      </c>
      <c r="N79" s="2" t="s">
        <v>37</v>
      </c>
      <c r="O79" s="2" t="s">
        <v>37</v>
      </c>
      <c r="P79" s="78">
        <v>0.940510259001541</v>
      </c>
      <c r="Q79" s="78">
        <v>0.9497365989756126</v>
      </c>
      <c r="R79" s="78">
        <v>0.9664765529171928</v>
      </c>
      <c r="S79" s="78">
        <v>0.9340076062659683</v>
      </c>
      <c r="T79" s="78">
        <v>0.9091515043606336</v>
      </c>
      <c r="U79" s="78">
        <v>0.9125240774296389</v>
      </c>
      <c r="V79" s="78">
        <v>0.9403397666069296</v>
      </c>
      <c r="W79" s="78">
        <v>0.9311813720660931</v>
      </c>
      <c r="X79" s="78">
        <v>0.9558415646924421</v>
      </c>
      <c r="Y79" s="78">
        <v>0.9361690562267665</v>
      </c>
      <c r="Z79" s="78">
        <v>0.9431796188095224</v>
      </c>
      <c r="AA79" s="78">
        <v>0.9504342148037984</v>
      </c>
      <c r="AB79" s="78">
        <v>0.9511898107663979</v>
      </c>
      <c r="AC79" s="78">
        <v>0.9738688361285985</v>
      </c>
      <c r="AD79" s="78">
        <v>0.9667580189893776</v>
      </c>
    </row>
    <row r="80" spans="1:30" ht="12.75">
      <c r="A80" s="66">
        <v>9</v>
      </c>
      <c r="B80" s="2" t="s">
        <v>22</v>
      </c>
      <c r="C80" s="2" t="s">
        <v>37</v>
      </c>
      <c r="D80" s="2" t="s">
        <v>37</v>
      </c>
      <c r="E80" s="2" t="s">
        <v>37</v>
      </c>
      <c r="F80" s="2" t="s">
        <v>37</v>
      </c>
      <c r="G80" s="2" t="s">
        <v>37</v>
      </c>
      <c r="H80" s="2" t="s">
        <v>37</v>
      </c>
      <c r="I80" s="2" t="s">
        <v>37</v>
      </c>
      <c r="J80" s="2" t="s">
        <v>37</v>
      </c>
      <c r="K80" s="2" t="s">
        <v>37</v>
      </c>
      <c r="L80" s="2" t="s">
        <v>37</v>
      </c>
      <c r="M80" s="2" t="s">
        <v>37</v>
      </c>
      <c r="N80" s="2" t="s">
        <v>37</v>
      </c>
      <c r="O80" s="2" t="s">
        <v>37</v>
      </c>
      <c r="P80" s="78">
        <v>1.399800609580038</v>
      </c>
      <c r="Q80" s="78">
        <v>1.3848569155091637</v>
      </c>
      <c r="R80" s="78">
        <v>1.4123971459862472</v>
      </c>
      <c r="S80" s="78">
        <v>1.3876002631396769</v>
      </c>
      <c r="T80" s="78">
        <v>1.3897972015455566</v>
      </c>
      <c r="U80" s="78">
        <v>1.339420209250372</v>
      </c>
      <c r="V80" s="78">
        <v>1.387233332128643</v>
      </c>
      <c r="W80" s="78">
        <v>1.393518885808432</v>
      </c>
      <c r="X80" s="78">
        <v>1.4372884530393282</v>
      </c>
      <c r="Y80" s="78">
        <v>1.458029890654078</v>
      </c>
      <c r="Z80" s="78">
        <v>1.5717384109043053</v>
      </c>
      <c r="AA80" s="78">
        <v>1.6033905555993575</v>
      </c>
      <c r="AB80" s="78">
        <v>1.5860820050078737</v>
      </c>
      <c r="AC80" s="78">
        <v>1.6103009440104674</v>
      </c>
      <c r="AD80" s="78">
        <v>1.5906218675232495</v>
      </c>
    </row>
    <row r="81" spans="1:30" ht="12.75">
      <c r="A81" s="66">
        <v>10</v>
      </c>
      <c r="B81" s="2" t="s">
        <v>23</v>
      </c>
      <c r="C81" s="2" t="s">
        <v>37</v>
      </c>
      <c r="D81" s="2" t="s">
        <v>37</v>
      </c>
      <c r="E81" s="2" t="s">
        <v>37</v>
      </c>
      <c r="F81" s="2" t="s">
        <v>37</v>
      </c>
      <c r="G81" s="2" t="s">
        <v>37</v>
      </c>
      <c r="H81" s="2" t="s">
        <v>37</v>
      </c>
      <c r="I81" s="2" t="s">
        <v>37</v>
      </c>
      <c r="J81" s="2" t="s">
        <v>37</v>
      </c>
      <c r="K81" s="2" t="s">
        <v>37</v>
      </c>
      <c r="L81" s="2" t="s">
        <v>37</v>
      </c>
      <c r="M81" s="2" t="s">
        <v>37</v>
      </c>
      <c r="N81" s="2" t="s">
        <v>37</v>
      </c>
      <c r="O81" s="2" t="s">
        <v>37</v>
      </c>
      <c r="P81" s="78">
        <v>1.1938380730416562</v>
      </c>
      <c r="Q81" s="78">
        <v>1.1786260158631117</v>
      </c>
      <c r="R81" s="78">
        <v>1.1818054234438435</v>
      </c>
      <c r="S81" s="78">
        <v>1.2613211694860618</v>
      </c>
      <c r="T81" s="78">
        <v>1.227334053130282</v>
      </c>
      <c r="U81" s="78">
        <v>1.1949646137691312</v>
      </c>
      <c r="V81" s="78">
        <v>1.2517980431222844</v>
      </c>
      <c r="W81" s="78">
        <v>1.2279368789210834</v>
      </c>
      <c r="X81" s="78">
        <v>1.2612281307639532</v>
      </c>
      <c r="Y81" s="78">
        <v>1.2165946776128422</v>
      </c>
      <c r="Z81" s="78">
        <v>1.295056589095907</v>
      </c>
      <c r="AA81" s="78">
        <v>1.3137582495192557</v>
      </c>
      <c r="AB81" s="78">
        <v>1.2802241197233661</v>
      </c>
      <c r="AC81" s="78">
        <v>1.2839447764582177</v>
      </c>
      <c r="AD81" s="78">
        <v>1.285705321140931</v>
      </c>
    </row>
    <row r="82" spans="1:30" ht="12.75">
      <c r="A82" s="66">
        <v>11</v>
      </c>
      <c r="B82" s="2" t="s">
        <v>24</v>
      </c>
      <c r="C82" s="2" t="s">
        <v>37</v>
      </c>
      <c r="D82" s="2" t="s">
        <v>37</v>
      </c>
      <c r="E82" s="2" t="s">
        <v>37</v>
      </c>
      <c r="F82" s="2" t="s">
        <v>37</v>
      </c>
      <c r="G82" s="2" t="s">
        <v>37</v>
      </c>
      <c r="H82" s="2" t="s">
        <v>37</v>
      </c>
      <c r="I82" s="2" t="s">
        <v>37</v>
      </c>
      <c r="J82" s="2" t="s">
        <v>37</v>
      </c>
      <c r="K82" s="2" t="s">
        <v>37</v>
      </c>
      <c r="L82" s="2" t="s">
        <v>37</v>
      </c>
      <c r="M82" s="2" t="s">
        <v>37</v>
      </c>
      <c r="N82" s="2" t="s">
        <v>37</v>
      </c>
      <c r="O82" s="2" t="s">
        <v>37</v>
      </c>
      <c r="P82" s="78">
        <v>0.9700656543269821</v>
      </c>
      <c r="Q82" s="78">
        <v>0.9839111974027672</v>
      </c>
      <c r="R82" s="78">
        <v>0.9499921801243608</v>
      </c>
      <c r="S82" s="78">
        <v>0.9485788537897961</v>
      </c>
      <c r="T82" s="78">
        <v>0.9236082764792635</v>
      </c>
      <c r="U82" s="78">
        <v>0.9110757961609305</v>
      </c>
      <c r="V82" s="78">
        <v>0.9250764349082773</v>
      </c>
      <c r="W82" s="78">
        <v>0.9056989991826881</v>
      </c>
      <c r="X82" s="78">
        <v>0.910506003165027</v>
      </c>
      <c r="Y82" s="78">
        <v>0.9138486383675385</v>
      </c>
      <c r="Z82" s="78">
        <v>0.9129697302736022</v>
      </c>
      <c r="AA82" s="78">
        <v>0.9100231579531494</v>
      </c>
      <c r="AB82" s="78">
        <v>0.9164596767412464</v>
      </c>
      <c r="AC82" s="78">
        <v>0.9314205761569476</v>
      </c>
      <c r="AD82" s="78">
        <v>0.9268474917096422</v>
      </c>
    </row>
    <row r="83" spans="1:30" ht="12.75">
      <c r="A83" s="66">
        <v>12</v>
      </c>
      <c r="B83" s="2" t="s">
        <v>25</v>
      </c>
      <c r="C83" s="2" t="s">
        <v>37</v>
      </c>
      <c r="D83" s="2" t="s">
        <v>37</v>
      </c>
      <c r="E83" s="2" t="s">
        <v>37</v>
      </c>
      <c r="F83" s="2" t="s">
        <v>37</v>
      </c>
      <c r="G83" s="2" t="s">
        <v>37</v>
      </c>
      <c r="H83" s="2" t="s">
        <v>37</v>
      </c>
      <c r="I83" s="2" t="s">
        <v>37</v>
      </c>
      <c r="J83" s="2" t="s">
        <v>37</v>
      </c>
      <c r="K83" s="2" t="s">
        <v>37</v>
      </c>
      <c r="L83" s="2" t="s">
        <v>37</v>
      </c>
      <c r="M83" s="2" t="s">
        <v>37</v>
      </c>
      <c r="N83" s="2" t="s">
        <v>37</v>
      </c>
      <c r="O83" s="2" t="s">
        <v>37</v>
      </c>
      <c r="P83" s="78">
        <v>0.905224168245189</v>
      </c>
      <c r="Q83" s="78">
        <v>0.8958041158764395</v>
      </c>
      <c r="R83" s="78">
        <v>0.896578773622917</v>
      </c>
      <c r="S83" s="78">
        <v>0.9267103657758224</v>
      </c>
      <c r="T83" s="78">
        <v>0.9141365011109419</v>
      </c>
      <c r="U83" s="78">
        <v>0.8867301999163691</v>
      </c>
      <c r="V83" s="78">
        <v>0.883611732117451</v>
      </c>
      <c r="W83" s="78">
        <v>0.876613860150588</v>
      </c>
      <c r="X83" s="78">
        <v>0.9022071007129527</v>
      </c>
      <c r="Y83" s="78">
        <v>0.8846854897962609</v>
      </c>
      <c r="Z83" s="78">
        <v>0.8588874945536478</v>
      </c>
      <c r="AA83" s="78">
        <v>0.8514990534005553</v>
      </c>
      <c r="AB83" s="78">
        <v>0.8402891146257274</v>
      </c>
      <c r="AC83" s="78">
        <v>0.8262219449360334</v>
      </c>
      <c r="AD83" s="78">
        <v>0.8037035045547787</v>
      </c>
    </row>
    <row r="84" spans="1:30" ht="12.75">
      <c r="A84" s="66">
        <v>13</v>
      </c>
      <c r="B84" s="2" t="s">
        <v>26</v>
      </c>
      <c r="C84" s="2" t="s">
        <v>37</v>
      </c>
      <c r="D84" s="2" t="s">
        <v>37</v>
      </c>
      <c r="E84" s="2" t="s">
        <v>37</v>
      </c>
      <c r="F84" s="2" t="s">
        <v>37</v>
      </c>
      <c r="G84" s="2" t="s">
        <v>37</v>
      </c>
      <c r="H84" s="2" t="s">
        <v>37</v>
      </c>
      <c r="I84" s="2" t="s">
        <v>37</v>
      </c>
      <c r="J84" s="2" t="s">
        <v>37</v>
      </c>
      <c r="K84" s="2" t="s">
        <v>37</v>
      </c>
      <c r="L84" s="2" t="s">
        <v>37</v>
      </c>
      <c r="M84" s="2" t="s">
        <v>37</v>
      </c>
      <c r="N84" s="2" t="s">
        <v>37</v>
      </c>
      <c r="O84" s="2" t="s">
        <v>37</v>
      </c>
      <c r="P84" s="78">
        <v>0.8842115055095564</v>
      </c>
      <c r="Q84" s="78">
        <v>0.8812956415116638</v>
      </c>
      <c r="R84" s="78">
        <v>0.906486571247149</v>
      </c>
      <c r="S84" s="78">
        <v>0.9525787089876218</v>
      </c>
      <c r="T84" s="78">
        <v>0.9553567653453061</v>
      </c>
      <c r="U84" s="78">
        <v>0.9599893565732656</v>
      </c>
      <c r="V84" s="78">
        <v>0.9810030220135666</v>
      </c>
      <c r="W84" s="78">
        <v>0.9507549188703748</v>
      </c>
      <c r="X84" s="78">
        <v>0.9821355910713159</v>
      </c>
      <c r="Y84" s="78">
        <v>0.9546145050434924</v>
      </c>
      <c r="Z84" s="78">
        <v>0.9523600183916197</v>
      </c>
      <c r="AA84" s="78">
        <v>0.9568196206883531</v>
      </c>
      <c r="AB84" s="78">
        <v>0.9556238634517797</v>
      </c>
      <c r="AC84" s="78">
        <v>0.9757524695823093</v>
      </c>
      <c r="AD84" s="78">
        <v>0.9489927157238012</v>
      </c>
    </row>
    <row r="85" spans="1:30" ht="12.75">
      <c r="A85" s="66">
        <v>14</v>
      </c>
      <c r="B85" s="2" t="s">
        <v>27</v>
      </c>
      <c r="C85" s="2" t="s">
        <v>37</v>
      </c>
      <c r="D85" s="2" t="s">
        <v>37</v>
      </c>
      <c r="E85" s="2" t="s">
        <v>37</v>
      </c>
      <c r="F85" s="2" t="s">
        <v>37</v>
      </c>
      <c r="G85" s="2" t="s">
        <v>37</v>
      </c>
      <c r="H85" s="2" t="s">
        <v>37</v>
      </c>
      <c r="I85" s="2" t="s">
        <v>37</v>
      </c>
      <c r="J85" s="2" t="s">
        <v>37</v>
      </c>
      <c r="K85" s="2" t="s">
        <v>37</v>
      </c>
      <c r="L85" s="2" t="s">
        <v>37</v>
      </c>
      <c r="M85" s="2" t="s">
        <v>37</v>
      </c>
      <c r="N85" s="2" t="s">
        <v>37</v>
      </c>
      <c r="O85" s="2" t="s">
        <v>37</v>
      </c>
      <c r="P85" s="78">
        <v>0.8438007731208345</v>
      </c>
      <c r="Q85" s="78">
        <v>0.8321276412305483</v>
      </c>
      <c r="R85" s="78">
        <v>0.8382854473804418</v>
      </c>
      <c r="S85" s="78">
        <v>0.8088774759236868</v>
      </c>
      <c r="T85" s="78">
        <v>0.7922700830128275</v>
      </c>
      <c r="U85" s="78">
        <v>0.7613938085016567</v>
      </c>
      <c r="V85" s="78">
        <v>0.7807618132392637</v>
      </c>
      <c r="W85" s="78">
        <v>0.7592131898426978</v>
      </c>
      <c r="X85" s="78">
        <v>0.7552067863659658</v>
      </c>
      <c r="Y85" s="78">
        <v>0.7471971439748205</v>
      </c>
      <c r="Z85" s="78">
        <v>0.745531032354923</v>
      </c>
      <c r="AA85" s="78">
        <v>0.72434348728415</v>
      </c>
      <c r="AB85" s="78">
        <v>0.717291562313932</v>
      </c>
      <c r="AC85" s="78">
        <v>0.7407769357012857</v>
      </c>
      <c r="AD85" s="78">
        <v>0.7458270891599934</v>
      </c>
    </row>
    <row r="86" spans="1:30" ht="12.75">
      <c r="A86" s="66">
        <v>15</v>
      </c>
      <c r="B86" s="2" t="s">
        <v>28</v>
      </c>
      <c r="C86" s="2" t="s">
        <v>37</v>
      </c>
      <c r="D86" s="2" t="s">
        <v>37</v>
      </c>
      <c r="E86" s="2" t="s">
        <v>37</v>
      </c>
      <c r="F86" s="2" t="s">
        <v>37</v>
      </c>
      <c r="G86" s="2" t="s">
        <v>37</v>
      </c>
      <c r="H86" s="2" t="s">
        <v>37</v>
      </c>
      <c r="I86" s="2" t="s">
        <v>37</v>
      </c>
      <c r="J86" s="2" t="s">
        <v>37</v>
      </c>
      <c r="K86" s="2" t="s">
        <v>37</v>
      </c>
      <c r="L86" s="2" t="s">
        <v>37</v>
      </c>
      <c r="M86" s="2" t="s">
        <v>37</v>
      </c>
      <c r="N86" s="2" t="s">
        <v>37</v>
      </c>
      <c r="O86" s="2" t="s">
        <v>37</v>
      </c>
      <c r="P86" s="78">
        <v>1.1083016206957503</v>
      </c>
      <c r="Q86" s="78">
        <v>1.1172665424078252</v>
      </c>
      <c r="R86" s="78">
        <v>1.1585620258967833</v>
      </c>
      <c r="S86" s="78">
        <v>1.1604764722641676</v>
      </c>
      <c r="T86" s="78">
        <v>1.1633822116175496</v>
      </c>
      <c r="U86" s="78">
        <v>1.173416075478862</v>
      </c>
      <c r="V86" s="78">
        <v>1.2298084009125312</v>
      </c>
      <c r="W86" s="78">
        <v>1.2523527555137919</v>
      </c>
      <c r="X86" s="78">
        <v>1.3060250743977402</v>
      </c>
      <c r="Y86" s="78">
        <v>1.293710491863372</v>
      </c>
      <c r="Z86" s="78">
        <v>1.3644094988502344</v>
      </c>
      <c r="AA86" s="78">
        <v>1.441514168787334</v>
      </c>
      <c r="AB86" s="78">
        <v>1.4799542756366242</v>
      </c>
      <c r="AC86" s="78">
        <v>1.457728467498358</v>
      </c>
      <c r="AD86" s="78">
        <v>1.4613173460630466</v>
      </c>
    </row>
    <row r="87" spans="1:30" ht="12.75">
      <c r="A87" s="66">
        <v>16</v>
      </c>
      <c r="B87" s="2" t="s">
        <v>29</v>
      </c>
      <c r="C87" s="2" t="s">
        <v>37</v>
      </c>
      <c r="D87" s="2" t="s">
        <v>37</v>
      </c>
      <c r="E87" s="2" t="s">
        <v>37</v>
      </c>
      <c r="F87" s="2" t="s">
        <v>37</v>
      </c>
      <c r="G87" s="2" t="s">
        <v>37</v>
      </c>
      <c r="H87" s="2" t="s">
        <v>37</v>
      </c>
      <c r="I87" s="2" t="s">
        <v>37</v>
      </c>
      <c r="J87" s="2" t="s">
        <v>37</v>
      </c>
      <c r="K87" s="2" t="s">
        <v>37</v>
      </c>
      <c r="L87" s="2" t="s">
        <v>37</v>
      </c>
      <c r="M87" s="2" t="s">
        <v>37</v>
      </c>
      <c r="N87" s="2" t="s">
        <v>37</v>
      </c>
      <c r="O87" s="2" t="s">
        <v>37</v>
      </c>
      <c r="P87" s="78">
        <v>0.8551244193209447</v>
      </c>
      <c r="Q87" s="78">
        <v>0.8787177383747912</v>
      </c>
      <c r="R87" s="78">
        <v>0.8983482660914515</v>
      </c>
      <c r="S87" s="78">
        <v>0.8824121155123743</v>
      </c>
      <c r="T87" s="78">
        <v>0.8649276624038816</v>
      </c>
      <c r="U87" s="78">
        <v>0.8841013943655344</v>
      </c>
      <c r="V87" s="78">
        <v>0.9001573331922248</v>
      </c>
      <c r="W87" s="78">
        <v>0.883406306669855</v>
      </c>
      <c r="X87" s="78">
        <v>0.8675244788599499</v>
      </c>
      <c r="Y87" s="78">
        <v>0.8782326290483884</v>
      </c>
      <c r="Z87" s="78">
        <v>0.84464119340902</v>
      </c>
      <c r="AA87" s="78">
        <v>0.8795215115650236</v>
      </c>
      <c r="AB87" s="78">
        <v>0.8547522506421766</v>
      </c>
      <c r="AC87" s="78">
        <v>0.8455192527678216</v>
      </c>
      <c r="AD87" s="78">
        <v>0.8259022180483203</v>
      </c>
    </row>
    <row r="88" spans="1:30" ht="12.75">
      <c r="A88" s="66">
        <v>17</v>
      </c>
      <c r="B88" s="2" t="s">
        <v>30</v>
      </c>
      <c r="C88" s="2" t="s">
        <v>37</v>
      </c>
      <c r="D88" s="2" t="s">
        <v>37</v>
      </c>
      <c r="E88" s="2" t="s">
        <v>37</v>
      </c>
      <c r="F88" s="2" t="s">
        <v>37</v>
      </c>
      <c r="G88" s="2" t="s">
        <v>37</v>
      </c>
      <c r="H88" s="2" t="s">
        <v>37</v>
      </c>
      <c r="I88" s="2" t="s">
        <v>37</v>
      </c>
      <c r="J88" s="2" t="s">
        <v>37</v>
      </c>
      <c r="K88" s="2" t="s">
        <v>37</v>
      </c>
      <c r="L88" s="2" t="s">
        <v>37</v>
      </c>
      <c r="M88" s="2" t="s">
        <v>37</v>
      </c>
      <c r="N88" s="2" t="s">
        <v>37</v>
      </c>
      <c r="O88" s="2" t="s">
        <v>37</v>
      </c>
      <c r="P88" s="78">
        <v>0.93393843026107</v>
      </c>
      <c r="Q88" s="78">
        <v>0.951595535269342</v>
      </c>
      <c r="R88" s="78">
        <v>0.9508412845912708</v>
      </c>
      <c r="S88" s="78">
        <v>0.9467883117045596</v>
      </c>
      <c r="T88" s="78">
        <v>0.9392052232501124</v>
      </c>
      <c r="U88" s="78">
        <v>0.9237386269234078</v>
      </c>
      <c r="V88" s="78">
        <v>0.9138896072548846</v>
      </c>
      <c r="W88" s="78">
        <v>0.8862391463298384</v>
      </c>
      <c r="X88" s="78">
        <v>0.9059461236620349</v>
      </c>
      <c r="Y88" s="78">
        <v>0.9063962719442756</v>
      </c>
      <c r="Z88" s="78">
        <v>0.8876777281301937</v>
      </c>
      <c r="AA88" s="78">
        <v>0.8840900978941016</v>
      </c>
      <c r="AB88" s="78">
        <v>0.8876164963147698</v>
      </c>
      <c r="AC88" s="78">
        <v>0.9169405077973558</v>
      </c>
      <c r="AD88" s="78">
        <v>0.9627175352427768</v>
      </c>
    </row>
    <row r="89" spans="1:30" ht="12.75">
      <c r="A89" s="66">
        <v>18</v>
      </c>
      <c r="B89" s="2" t="s">
        <v>31</v>
      </c>
      <c r="C89" s="2" t="s">
        <v>37</v>
      </c>
      <c r="D89" s="2" t="s">
        <v>37</v>
      </c>
      <c r="E89" s="2" t="s">
        <v>37</v>
      </c>
      <c r="F89" s="2" t="s">
        <v>37</v>
      </c>
      <c r="G89" s="2" t="s">
        <v>37</v>
      </c>
      <c r="H89" s="2" t="s">
        <v>37</v>
      </c>
      <c r="I89" s="2" t="s">
        <v>37</v>
      </c>
      <c r="J89" s="2" t="s">
        <v>37</v>
      </c>
      <c r="K89" s="2" t="s">
        <v>37</v>
      </c>
      <c r="L89" s="2" t="s">
        <v>37</v>
      </c>
      <c r="M89" s="2" t="s">
        <v>37</v>
      </c>
      <c r="N89" s="2" t="s">
        <v>37</v>
      </c>
      <c r="O89" s="2" t="s">
        <v>37</v>
      </c>
      <c r="P89" s="78">
        <v>0.9300505302973617</v>
      </c>
      <c r="Q89" s="78">
        <v>0.8919315337691934</v>
      </c>
      <c r="R89" s="78">
        <v>0.8848369348988627</v>
      </c>
      <c r="S89" s="78">
        <v>0.8911834780331033</v>
      </c>
      <c r="T89" s="78">
        <v>0.8728879944158782</v>
      </c>
      <c r="U89" s="78">
        <v>0.840374770672979</v>
      </c>
      <c r="V89" s="78">
        <v>0.901443417789659</v>
      </c>
      <c r="W89" s="78">
        <v>0.8783584145221796</v>
      </c>
      <c r="X89" s="78">
        <v>0.900986005323559</v>
      </c>
      <c r="Y89" s="78">
        <v>0.8888426355008047</v>
      </c>
      <c r="Z89" s="78">
        <v>0.9059734619603015</v>
      </c>
      <c r="AA89" s="78">
        <v>0.9108352070107444</v>
      </c>
      <c r="AB89" s="78">
        <v>0.907785421080886</v>
      </c>
      <c r="AC89" s="78">
        <v>0.9086563860543658</v>
      </c>
      <c r="AD89" s="78">
        <v>0.918867522828286</v>
      </c>
    </row>
    <row r="90" spans="1:30" ht="12.75">
      <c r="A90" s="66">
        <v>19</v>
      </c>
      <c r="B90" s="2" t="s">
        <v>32</v>
      </c>
      <c r="C90" s="2" t="s">
        <v>37</v>
      </c>
      <c r="D90" s="2" t="s">
        <v>37</v>
      </c>
      <c r="E90" s="2" t="s">
        <v>37</v>
      </c>
      <c r="F90" s="2" t="s">
        <v>37</v>
      </c>
      <c r="G90" s="2" t="s">
        <v>37</v>
      </c>
      <c r="H90" s="2" t="s">
        <v>37</v>
      </c>
      <c r="I90" s="2" t="s">
        <v>37</v>
      </c>
      <c r="J90" s="2" t="s">
        <v>37</v>
      </c>
      <c r="K90" s="2" t="s">
        <v>37</v>
      </c>
      <c r="L90" s="2" t="s">
        <v>37</v>
      </c>
      <c r="M90" s="2" t="s">
        <v>37</v>
      </c>
      <c r="N90" s="2" t="s">
        <v>37</v>
      </c>
      <c r="O90" s="2" t="s">
        <v>37</v>
      </c>
      <c r="P90" s="78">
        <v>0.6558395770196719</v>
      </c>
      <c r="Q90" s="78">
        <v>0.6613161604265944</v>
      </c>
      <c r="R90" s="78">
        <v>0.675630692040894</v>
      </c>
      <c r="S90" s="78">
        <v>0.703137390775563</v>
      </c>
      <c r="T90" s="78">
        <v>0.6923963455294224</v>
      </c>
      <c r="U90" s="78">
        <v>0.6982228837579385</v>
      </c>
      <c r="V90" s="78">
        <v>0.7324785442435039</v>
      </c>
      <c r="W90" s="78">
        <v>0.716296043524122</v>
      </c>
      <c r="X90" s="78">
        <v>0.7442725031196926</v>
      </c>
      <c r="Y90" s="78">
        <v>0.694315202793604</v>
      </c>
      <c r="Z90" s="78">
        <v>0.7098684337563965</v>
      </c>
      <c r="AA90" s="78">
        <v>0.7066883527572917</v>
      </c>
      <c r="AB90" s="78">
        <v>0.6971494247471027</v>
      </c>
      <c r="AC90" s="78">
        <v>0.7098157229382032</v>
      </c>
      <c r="AD90" s="78">
        <v>0.730916622283451</v>
      </c>
    </row>
    <row r="91" spans="1:30" ht="12.75">
      <c r="A91" s="66">
        <v>20</v>
      </c>
      <c r="B91" s="2" t="s">
        <v>33</v>
      </c>
      <c r="C91" s="2" t="s">
        <v>37</v>
      </c>
      <c r="D91" s="2" t="s">
        <v>37</v>
      </c>
      <c r="E91" s="2" t="s">
        <v>37</v>
      </c>
      <c r="F91" s="2" t="s">
        <v>37</v>
      </c>
      <c r="G91" s="2" t="s">
        <v>37</v>
      </c>
      <c r="H91" s="2" t="s">
        <v>37</v>
      </c>
      <c r="I91" s="2" t="s">
        <v>37</v>
      </c>
      <c r="J91" s="2" t="s">
        <v>37</v>
      </c>
      <c r="K91" s="2" t="s">
        <v>37</v>
      </c>
      <c r="L91" s="2" t="s">
        <v>37</v>
      </c>
      <c r="M91" s="2" t="s">
        <v>37</v>
      </c>
      <c r="N91" s="2" t="s">
        <v>37</v>
      </c>
      <c r="O91" s="2" t="s">
        <v>37</v>
      </c>
      <c r="P91" s="78">
        <v>0.9635943259593913</v>
      </c>
      <c r="Q91" s="78">
        <v>0.9467266284445679</v>
      </c>
      <c r="R91" s="78">
        <v>0.9513342030123179</v>
      </c>
      <c r="S91" s="78">
        <v>0.9952729911956105</v>
      </c>
      <c r="T91" s="78">
        <v>0.9793726048872614</v>
      </c>
      <c r="U91" s="78">
        <v>0.9677340715102511</v>
      </c>
      <c r="V91" s="78">
        <v>0.9240140869749343</v>
      </c>
      <c r="W91" s="78">
        <v>0.8882963414808421</v>
      </c>
      <c r="X91" s="78">
        <v>0.8883545702242536</v>
      </c>
      <c r="Y91" s="78">
        <v>0.8831350227614708</v>
      </c>
      <c r="Z91" s="78">
        <v>0.9028400880541668</v>
      </c>
      <c r="AA91" s="78">
        <v>0.9115904888003015</v>
      </c>
      <c r="AB91" s="78">
        <v>0.8800556723116331</v>
      </c>
      <c r="AC91" s="78">
        <v>0.924431617182094</v>
      </c>
      <c r="AD91" s="78">
        <v>0.9399082029867778</v>
      </c>
    </row>
    <row r="92" spans="1:30" ht="12.75">
      <c r="A92" s="66">
        <v>21</v>
      </c>
      <c r="B92" s="2" t="s">
        <v>34</v>
      </c>
      <c r="C92" s="2" t="s">
        <v>37</v>
      </c>
      <c r="D92" s="2" t="s">
        <v>37</v>
      </c>
      <c r="E92" s="2" t="s">
        <v>37</v>
      </c>
      <c r="F92" s="2" t="s">
        <v>37</v>
      </c>
      <c r="G92" s="2" t="s">
        <v>37</v>
      </c>
      <c r="H92" s="2" t="s">
        <v>37</v>
      </c>
      <c r="I92" s="2" t="s">
        <v>37</v>
      </c>
      <c r="J92" s="2" t="s">
        <v>37</v>
      </c>
      <c r="K92" s="2" t="s">
        <v>37</v>
      </c>
      <c r="L92" s="2" t="s">
        <v>37</v>
      </c>
      <c r="M92" s="2" t="s">
        <v>37</v>
      </c>
      <c r="N92" s="2" t="s">
        <v>37</v>
      </c>
      <c r="O92" s="2" t="s">
        <v>37</v>
      </c>
      <c r="P92" s="78">
        <v>0.9474585268424076</v>
      </c>
      <c r="Q92" s="78">
        <v>0.9429187834585201</v>
      </c>
      <c r="R92" s="78">
        <v>0.9118768234739673</v>
      </c>
      <c r="S92" s="78">
        <v>0.903814316945464</v>
      </c>
      <c r="T92" s="78">
        <v>0.9020845351114991</v>
      </c>
      <c r="U92" s="78">
        <v>0.8879435831451609</v>
      </c>
      <c r="V92" s="78">
        <v>0.9125402561451084</v>
      </c>
      <c r="W92" s="78">
        <v>0.9082121981820865</v>
      </c>
      <c r="X92" s="78">
        <v>0.9146280587009038</v>
      </c>
      <c r="Y92" s="78">
        <v>0.9273062486658574</v>
      </c>
      <c r="Z92" s="78">
        <v>0.9288453157466436</v>
      </c>
      <c r="AA92" s="78">
        <v>0.9359851439586382</v>
      </c>
      <c r="AB92" s="78">
        <v>0.9238327445337072</v>
      </c>
      <c r="AC92" s="78">
        <v>0.9328597568762337</v>
      </c>
      <c r="AD92" s="78">
        <v>0.9428380904630753</v>
      </c>
    </row>
  </sheetData>
  <sheetProtection selectLockedCells="1"/>
  <mergeCells count="1">
    <mergeCell ref="C1:AE1"/>
  </mergeCells>
  <printOptions/>
  <pageMargins left="0.75" right="0.75" top="1" bottom="1" header="0.5" footer="0.5"/>
  <pageSetup horizontalDpi="300" verticalDpi="300" orientation="portrait" r:id="rId1"/>
  <ignoredErrors>
    <ignoredError sqref="AF3:AF10 AF11:AF18 C51:R5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CZ63"/>
  <sheetViews>
    <sheetView workbookViewId="0" topLeftCell="A1">
      <selection activeCell="A52" sqref="A52"/>
    </sheetView>
  </sheetViews>
  <sheetFormatPr defaultColWidth="9.140625" defaultRowHeight="12.75"/>
  <cols>
    <col min="1" max="1" width="32.00390625" style="142" customWidth="1"/>
    <col min="2" max="2" width="10.7109375" style="142" customWidth="1"/>
    <col min="3" max="3" width="9.140625" style="142" customWidth="1"/>
    <col min="4" max="4" width="16.8515625" style="142" bestFit="1" customWidth="1"/>
    <col min="5" max="5" width="9.8515625" style="142" bestFit="1" customWidth="1"/>
    <col min="6" max="13" width="9.140625" style="142" customWidth="1"/>
    <col min="14" max="17" width="10.7109375" style="142" bestFit="1" customWidth="1"/>
    <col min="18" max="19" width="9.140625" style="142" customWidth="1"/>
    <col min="20" max="20" width="10.7109375" style="142" bestFit="1" customWidth="1"/>
    <col min="21" max="21" width="9.140625" style="142" customWidth="1"/>
    <col min="22" max="23" width="10.7109375" style="142" bestFit="1" customWidth="1"/>
    <col min="24" max="16384" width="9.140625" style="142" customWidth="1"/>
  </cols>
  <sheetData>
    <row r="1" spans="1:4" ht="40.5" customHeight="1">
      <c r="A1" s="230" t="s">
        <v>167</v>
      </c>
      <c r="B1" s="230"/>
      <c r="D1" s="88" t="s">
        <v>160</v>
      </c>
    </row>
    <row r="2" spans="1:5" ht="12.75">
      <c r="A2" s="143" t="s">
        <v>156</v>
      </c>
      <c r="B2" s="143" t="s">
        <v>157</v>
      </c>
      <c r="D2" s="143" t="s">
        <v>159</v>
      </c>
      <c r="E2" s="144" t="s">
        <v>158</v>
      </c>
    </row>
    <row r="3" spans="1:5" ht="12.75">
      <c r="A3" s="145">
        <v>8</v>
      </c>
      <c r="B3" s="146">
        <v>17.55</v>
      </c>
      <c r="D3" s="145">
        <v>12</v>
      </c>
      <c r="E3" s="146">
        <v>29.5</v>
      </c>
    </row>
    <row r="4" spans="1:5" ht="12.75">
      <c r="A4" s="145">
        <v>10</v>
      </c>
      <c r="B4" s="146">
        <v>21.5</v>
      </c>
      <c r="D4" s="145">
        <v>15</v>
      </c>
      <c r="E4" s="146">
        <v>33</v>
      </c>
    </row>
    <row r="5" spans="1:5" ht="12.75">
      <c r="A5" s="145">
        <v>12</v>
      </c>
      <c r="B5" s="146">
        <v>26</v>
      </c>
      <c r="D5" s="145">
        <v>18</v>
      </c>
      <c r="E5" s="146">
        <v>36</v>
      </c>
    </row>
    <row r="6" spans="1:5" ht="12.75">
      <c r="A6" s="145">
        <v>15</v>
      </c>
      <c r="B6" s="146">
        <v>30</v>
      </c>
      <c r="D6" s="145">
        <v>21</v>
      </c>
      <c r="E6" s="146">
        <v>43.5</v>
      </c>
    </row>
    <row r="7" spans="1:5" ht="12.75">
      <c r="A7" s="145">
        <v>18</v>
      </c>
      <c r="B7" s="146">
        <v>35.5</v>
      </c>
      <c r="D7" s="145">
        <v>24</v>
      </c>
      <c r="E7" s="146">
        <v>50.5</v>
      </c>
    </row>
    <row r="8" spans="1:5" ht="12.75">
      <c r="A8" s="145">
        <v>24</v>
      </c>
      <c r="B8" s="146">
        <v>43</v>
      </c>
      <c r="D8" s="145">
        <v>27</v>
      </c>
      <c r="E8" s="146">
        <v>69.5</v>
      </c>
    </row>
    <row r="9" spans="1:5" ht="12.75">
      <c r="A9" s="145">
        <v>30</v>
      </c>
      <c r="B9" s="146">
        <v>64.5</v>
      </c>
      <c r="D9" s="145">
        <v>30</v>
      </c>
      <c r="E9" s="146">
        <v>74</v>
      </c>
    </row>
    <row r="10" spans="1:5" ht="12.75">
      <c r="A10" s="145">
        <v>36</v>
      </c>
      <c r="B10" s="146">
        <v>82</v>
      </c>
      <c r="D10" s="145">
        <v>36</v>
      </c>
      <c r="E10" s="146">
        <v>97.5</v>
      </c>
    </row>
    <row r="11" spans="1:5" ht="12.75">
      <c r="A11" s="145">
        <v>48</v>
      </c>
      <c r="B11" s="146">
        <v>116</v>
      </c>
      <c r="D11" s="145">
        <v>42</v>
      </c>
      <c r="E11" s="146">
        <v>121</v>
      </c>
    </row>
    <row r="12" spans="1:5" ht="12.75">
      <c r="A12" s="145">
        <v>60</v>
      </c>
      <c r="B12" s="146">
        <v>155</v>
      </c>
      <c r="D12" s="145">
        <v>48</v>
      </c>
      <c r="E12" s="146">
        <v>144</v>
      </c>
    </row>
    <row r="13" spans="1:5" ht="12.75">
      <c r="A13" s="145">
        <v>72</v>
      </c>
      <c r="B13" s="146">
        <v>241</v>
      </c>
      <c r="D13" s="145">
        <v>60</v>
      </c>
      <c r="E13" s="146">
        <v>216</v>
      </c>
    </row>
    <row r="14" spans="4:5" ht="12.75">
      <c r="D14" s="145">
        <v>72</v>
      </c>
      <c r="E14" s="146">
        <v>289</v>
      </c>
    </row>
    <row r="15" spans="4:5" ht="12.75">
      <c r="D15" s="145">
        <v>84</v>
      </c>
      <c r="E15" s="146">
        <v>450</v>
      </c>
    </row>
    <row r="16" spans="4:5" ht="12.75">
      <c r="D16" s="145">
        <v>96</v>
      </c>
      <c r="E16" s="146">
        <v>550</v>
      </c>
    </row>
    <row r="19" spans="1:2" ht="12.75">
      <c r="A19" s="143">
        <v>1</v>
      </c>
      <c r="B19" s="145">
        <v>8</v>
      </c>
    </row>
    <row r="20" spans="1:2" ht="12.75">
      <c r="A20" s="147"/>
      <c r="B20" s="145">
        <v>10</v>
      </c>
    </row>
    <row r="21" spans="1:2" ht="12.75">
      <c r="A21" s="147"/>
      <c r="B21" s="145">
        <v>12</v>
      </c>
    </row>
    <row r="22" spans="1:2" ht="12.75">
      <c r="A22" s="147"/>
      <c r="B22" s="145">
        <v>15</v>
      </c>
    </row>
    <row r="23" spans="1:2" ht="12.75">
      <c r="A23" s="147"/>
      <c r="B23" s="145">
        <v>18</v>
      </c>
    </row>
    <row r="24" spans="1:2" ht="12.75">
      <c r="A24" s="147"/>
      <c r="B24" s="145">
        <v>24</v>
      </c>
    </row>
    <row r="25" spans="1:2" ht="12.75">
      <c r="A25" s="147"/>
      <c r="B25" s="145">
        <v>30</v>
      </c>
    </row>
    <row r="26" spans="1:2" ht="12.75">
      <c r="A26" s="147"/>
      <c r="B26" s="145">
        <v>36</v>
      </c>
    </row>
    <row r="27" spans="1:2" ht="12.75">
      <c r="A27" s="147"/>
      <c r="B27" s="145">
        <v>48</v>
      </c>
    </row>
    <row r="28" spans="1:2" ht="12.75">
      <c r="A28" s="147"/>
      <c r="B28" s="145">
        <v>60</v>
      </c>
    </row>
    <row r="29" spans="1:2" ht="12.75">
      <c r="A29" s="147"/>
      <c r="B29" s="145">
        <v>72</v>
      </c>
    </row>
    <row r="30" spans="1:2" ht="12.75">
      <c r="A30" s="147"/>
      <c r="B30" s="145" t="s">
        <v>37</v>
      </c>
    </row>
    <row r="31" spans="1:2" ht="12.75">
      <c r="A31" s="147"/>
      <c r="B31" s="145" t="s">
        <v>37</v>
      </c>
    </row>
    <row r="32" spans="1:2" ht="12.75">
      <c r="A32" s="147"/>
      <c r="B32" s="145" t="s">
        <v>37</v>
      </c>
    </row>
    <row r="33" spans="1:2" ht="12.75">
      <c r="A33" s="143">
        <v>2</v>
      </c>
      <c r="B33" s="145">
        <v>12</v>
      </c>
    </row>
    <row r="34" spans="1:2" ht="12.75">
      <c r="A34" s="147"/>
      <c r="B34" s="145">
        <v>15</v>
      </c>
    </row>
    <row r="35" spans="1:2" ht="12.75">
      <c r="A35" s="147"/>
      <c r="B35" s="145">
        <v>18</v>
      </c>
    </row>
    <row r="36" spans="1:2" ht="12.75">
      <c r="A36" s="147"/>
      <c r="B36" s="145">
        <v>21</v>
      </c>
    </row>
    <row r="37" spans="1:2" ht="12.75">
      <c r="A37" s="147"/>
      <c r="B37" s="145">
        <v>24</v>
      </c>
    </row>
    <row r="38" spans="1:2" ht="12.75">
      <c r="A38" s="147"/>
      <c r="B38" s="145">
        <v>27</v>
      </c>
    </row>
    <row r="39" spans="1:2" ht="12.75">
      <c r="A39" s="147"/>
      <c r="B39" s="145">
        <v>30</v>
      </c>
    </row>
    <row r="40" spans="1:2" ht="12.75">
      <c r="A40" s="147"/>
      <c r="B40" s="145">
        <v>36</v>
      </c>
    </row>
    <row r="41" spans="1:2" ht="12.75">
      <c r="A41" s="147"/>
      <c r="B41" s="145">
        <v>42</v>
      </c>
    </row>
    <row r="42" spans="1:2" ht="12.75">
      <c r="A42" s="147"/>
      <c r="B42" s="145">
        <v>48</v>
      </c>
    </row>
    <row r="43" spans="1:2" ht="12.75">
      <c r="A43" s="147"/>
      <c r="B43" s="145">
        <v>60</v>
      </c>
    </row>
    <row r="44" spans="1:2" ht="12.75">
      <c r="A44" s="147"/>
      <c r="B44" s="145">
        <v>72</v>
      </c>
    </row>
    <row r="45" spans="1:2" ht="12.75">
      <c r="A45" s="147"/>
      <c r="B45" s="145">
        <v>84</v>
      </c>
    </row>
    <row r="46" spans="1:2" ht="12.75">
      <c r="A46" s="147"/>
      <c r="B46" s="145">
        <v>96</v>
      </c>
    </row>
    <row r="47" ht="12.75">
      <c r="A47" s="148"/>
    </row>
    <row r="48" spans="1:104" ht="12.75">
      <c r="A48" s="148"/>
      <c r="B48" s="142" t="s">
        <v>99</v>
      </c>
      <c r="C48" s="142" t="s">
        <v>100</v>
      </c>
      <c r="D48" s="142" t="s">
        <v>168</v>
      </c>
      <c r="E48" s="142" t="s">
        <v>169</v>
      </c>
      <c r="F48" s="142" t="s">
        <v>170</v>
      </c>
      <c r="G48" s="142" t="s">
        <v>171</v>
      </c>
      <c r="H48" s="142" t="s">
        <v>172</v>
      </c>
      <c r="I48" s="142" t="s">
        <v>173</v>
      </c>
      <c r="J48" s="142" t="s">
        <v>174</v>
      </c>
      <c r="K48" s="142" t="s">
        <v>175</v>
      </c>
      <c r="L48" s="142" t="s">
        <v>176</v>
      </c>
      <c r="M48" s="142" t="s">
        <v>177</v>
      </c>
      <c r="N48" s="142" t="s">
        <v>178</v>
      </c>
      <c r="O48" s="142" t="s">
        <v>179</v>
      </c>
      <c r="P48" s="142" t="s">
        <v>180</v>
      </c>
      <c r="Q48" s="142" t="s">
        <v>181</v>
      </c>
      <c r="R48" s="142" t="s">
        <v>182</v>
      </c>
      <c r="S48" s="142" t="s">
        <v>183</v>
      </c>
      <c r="T48" s="142" t="s">
        <v>184</v>
      </c>
      <c r="U48" s="142" t="s">
        <v>185</v>
      </c>
      <c r="V48" s="142" t="s">
        <v>331</v>
      </c>
      <c r="W48" s="142" t="s">
        <v>332</v>
      </c>
      <c r="X48" s="142" t="s">
        <v>333</v>
      </c>
      <c r="Y48" s="142" t="s">
        <v>334</v>
      </c>
      <c r="Z48" s="142" t="s">
        <v>335</v>
      </c>
      <c r="AA48" s="142" t="s">
        <v>336</v>
      </c>
      <c r="AB48" s="142" t="s">
        <v>337</v>
      </c>
      <c r="AC48" s="142" t="s">
        <v>338</v>
      </c>
      <c r="AD48" s="142" t="s">
        <v>339</v>
      </c>
      <c r="AE48" s="142" t="s">
        <v>340</v>
      </c>
      <c r="AF48" s="142" t="s">
        <v>341</v>
      </c>
      <c r="AG48" s="142" t="s">
        <v>342</v>
      </c>
      <c r="AH48" s="142" t="s">
        <v>343</v>
      </c>
      <c r="AI48" s="142" t="s">
        <v>344</v>
      </c>
      <c r="AJ48" s="142" t="s">
        <v>345</v>
      </c>
      <c r="AK48" s="142" t="s">
        <v>346</v>
      </c>
      <c r="AL48" s="142" t="s">
        <v>347</v>
      </c>
      <c r="AM48" s="142" t="s">
        <v>348</v>
      </c>
      <c r="AN48" s="142" t="s">
        <v>349</v>
      </c>
      <c r="AO48" s="142" t="s">
        <v>350</v>
      </c>
      <c r="AP48" s="142" t="s">
        <v>351</v>
      </c>
      <c r="AQ48" s="142" t="s">
        <v>352</v>
      </c>
      <c r="AR48" s="142" t="s">
        <v>353</v>
      </c>
      <c r="AS48" s="142" t="s">
        <v>354</v>
      </c>
      <c r="AT48" s="142" t="s">
        <v>355</v>
      </c>
      <c r="AU48" s="142" t="s">
        <v>356</v>
      </c>
      <c r="AV48" s="142" t="s">
        <v>357</v>
      </c>
      <c r="AW48" s="142" t="s">
        <v>358</v>
      </c>
      <c r="AX48" s="142" t="s">
        <v>359</v>
      </c>
      <c r="AY48" s="142" t="s">
        <v>360</v>
      </c>
      <c r="AZ48" s="142" t="s">
        <v>361</v>
      </c>
      <c r="BA48" s="142" t="s">
        <v>362</v>
      </c>
      <c r="BB48" s="142" t="s">
        <v>363</v>
      </c>
      <c r="BC48" s="142" t="s">
        <v>364</v>
      </c>
      <c r="BD48" s="142" t="s">
        <v>365</v>
      </c>
      <c r="BE48" s="142" t="s">
        <v>366</v>
      </c>
      <c r="BF48" s="142" t="s">
        <v>367</v>
      </c>
      <c r="BG48" s="142" t="s">
        <v>368</v>
      </c>
      <c r="BH48" s="142" t="s">
        <v>369</v>
      </c>
      <c r="BI48" s="142" t="s">
        <v>370</v>
      </c>
      <c r="BJ48" s="142" t="s">
        <v>371</v>
      </c>
      <c r="BK48" s="142" t="s">
        <v>372</v>
      </c>
      <c r="BL48" s="142" t="s">
        <v>373</v>
      </c>
      <c r="BM48" s="142" t="s">
        <v>374</v>
      </c>
      <c r="BN48" s="142" t="s">
        <v>375</v>
      </c>
      <c r="BO48" s="142" t="s">
        <v>376</v>
      </c>
      <c r="BP48" s="142" t="s">
        <v>377</v>
      </c>
      <c r="BQ48" s="142" t="s">
        <v>378</v>
      </c>
      <c r="BR48" s="142" t="s">
        <v>379</v>
      </c>
      <c r="BS48" s="142" t="s">
        <v>380</v>
      </c>
      <c r="BT48" s="142" t="s">
        <v>381</v>
      </c>
      <c r="BU48" s="142" t="s">
        <v>382</v>
      </c>
      <c r="BV48" s="142" t="s">
        <v>383</v>
      </c>
      <c r="BW48" s="142" t="s">
        <v>384</v>
      </c>
      <c r="BX48" s="142" t="s">
        <v>385</v>
      </c>
      <c r="BY48" s="142" t="s">
        <v>386</v>
      </c>
      <c r="BZ48" s="142" t="s">
        <v>387</v>
      </c>
      <c r="CA48" s="142" t="s">
        <v>388</v>
      </c>
      <c r="CB48" s="142" t="s">
        <v>389</v>
      </c>
      <c r="CC48" s="142" t="s">
        <v>390</v>
      </c>
      <c r="CD48" s="142" t="s">
        <v>391</v>
      </c>
      <c r="CE48" s="142" t="s">
        <v>392</v>
      </c>
      <c r="CF48" s="142" t="s">
        <v>393</v>
      </c>
      <c r="CG48" s="142" t="s">
        <v>394</v>
      </c>
      <c r="CH48" s="142" t="s">
        <v>395</v>
      </c>
      <c r="CI48" s="142" t="s">
        <v>396</v>
      </c>
      <c r="CJ48" s="142" t="s">
        <v>397</v>
      </c>
      <c r="CK48" s="142" t="s">
        <v>398</v>
      </c>
      <c r="CL48" s="142" t="s">
        <v>399</v>
      </c>
      <c r="CM48" s="142" t="s">
        <v>400</v>
      </c>
      <c r="CN48" s="142" t="s">
        <v>401</v>
      </c>
      <c r="CO48" s="142" t="s">
        <v>402</v>
      </c>
      <c r="CP48" s="142" t="s">
        <v>403</v>
      </c>
      <c r="CQ48" s="142" t="s">
        <v>404</v>
      </c>
      <c r="CR48" s="142" t="s">
        <v>405</v>
      </c>
      <c r="CS48" s="142" t="s">
        <v>406</v>
      </c>
      <c r="CT48" s="142" t="s">
        <v>407</v>
      </c>
      <c r="CU48" s="142" t="s">
        <v>408</v>
      </c>
      <c r="CV48" s="142" t="s">
        <v>409</v>
      </c>
      <c r="CW48" s="142" t="s">
        <v>410</v>
      </c>
      <c r="CX48" s="142" t="s">
        <v>411</v>
      </c>
      <c r="CY48" s="142" t="s">
        <v>412</v>
      </c>
      <c r="CZ48" s="142" t="s">
        <v>413</v>
      </c>
    </row>
    <row r="49" spans="1:104" ht="12.75">
      <c r="A49" s="142">
        <v>1</v>
      </c>
      <c r="B49" s="147">
        <f>IF(Cost!$B$3=1,$B19,$B33)</f>
        <v>8</v>
      </c>
      <c r="C49" s="147">
        <f>IF(Cost!$C$3=1,$B19,$B33)</f>
        <v>8</v>
      </c>
      <c r="D49" s="147">
        <f>IF(Cost!$D$3=1,$B19,$B33)</f>
        <v>8</v>
      </c>
      <c r="E49" s="147">
        <f>IF(Cost!$E$3=1,$B19,$B33)</f>
        <v>8</v>
      </c>
      <c r="F49" s="147">
        <f>IF(Cost!$F$3=1,$B19,$B33)</f>
        <v>8</v>
      </c>
      <c r="G49" s="147">
        <f>IF(Cost!$G$3=1,$B19,$B33)</f>
        <v>8</v>
      </c>
      <c r="H49" s="147">
        <f>IF(Cost!$H$3=1,$B19,$B33)</f>
        <v>8</v>
      </c>
      <c r="I49" s="147">
        <f>IF(Cost!$I$3=1,$B19,$B33)</f>
        <v>8</v>
      </c>
      <c r="J49" s="147">
        <f>IF(Cost!$J$3=1,$B19,$B33)</f>
        <v>8</v>
      </c>
      <c r="K49" s="147">
        <f>IF(Cost!$K$3=1,$B19,$B33)</f>
        <v>8</v>
      </c>
      <c r="L49" s="147">
        <f>IF(Cost!$L$3=1,$B19,$B33)</f>
        <v>8</v>
      </c>
      <c r="M49" s="147">
        <f>IF(Cost!$M$3=1,$B19,$B33)</f>
        <v>8</v>
      </c>
      <c r="N49" s="147">
        <f>IF(Cost!$N$3=1,$B19,$B33)</f>
        <v>8</v>
      </c>
      <c r="O49" s="147">
        <f>IF(Cost!$O$3=1,$B19,$B33)</f>
        <v>8</v>
      </c>
      <c r="P49" s="147">
        <f>IF(Cost!$P$3=1,$B19,$B33)</f>
        <v>8</v>
      </c>
      <c r="Q49" s="147">
        <f>IF(Cost!$Q$3=1,$B19,$B33)</f>
        <v>8</v>
      </c>
      <c r="R49" s="147">
        <f>IF(Cost!$R$3=1,$B19,$B33)</f>
        <v>8</v>
      </c>
      <c r="S49" s="147">
        <f>IF(Cost!$S$3=1,$B19,$B33)</f>
        <v>8</v>
      </c>
      <c r="T49" s="147">
        <f>IF(Cost!$T$3=1,$B19,$B33)</f>
        <v>8</v>
      </c>
      <c r="U49" s="147">
        <f>IF(Cost!U$3=1,$B19,$B33)</f>
        <v>8</v>
      </c>
      <c r="V49" s="147">
        <f>IF(Cost!V$3=1,$B19,$B33)</f>
        <v>8</v>
      </c>
      <c r="W49" s="147">
        <f>IF(Cost!W$3=1,$B19,$B33)</f>
        <v>8</v>
      </c>
      <c r="X49" s="147">
        <f>IF(Cost!X$3=1,$B19,$B33)</f>
        <v>8</v>
      </c>
      <c r="Y49" s="147">
        <f>IF(Cost!Y$3=1,$B19,$B33)</f>
        <v>8</v>
      </c>
      <c r="Z49" s="147">
        <f>IF(Cost!Z$3=1,$B19,$B33)</f>
        <v>8</v>
      </c>
      <c r="AA49" s="147">
        <f>IF(Cost!AA$3=1,$B19,$B33)</f>
        <v>8</v>
      </c>
      <c r="AB49" s="147">
        <f>IF(Cost!AB$3=1,$B19,$B33)</f>
        <v>8</v>
      </c>
      <c r="AC49" s="147">
        <f>IF(Cost!AC$3=1,$B19,$B33)</f>
        <v>8</v>
      </c>
      <c r="AD49" s="147">
        <f>IF(Cost!AD$3=1,$B19,$B33)</f>
        <v>8</v>
      </c>
      <c r="AE49" s="147">
        <f>IF(Cost!AE$3=1,$B19,$B33)</f>
        <v>8</v>
      </c>
      <c r="AF49" s="147">
        <f>IF(Cost!AF$3=1,$B19,$B33)</f>
        <v>8</v>
      </c>
      <c r="AG49" s="147">
        <f>IF(Cost!AG$3=1,$B19,$B33)</f>
        <v>8</v>
      </c>
      <c r="AH49" s="147">
        <f>IF(Cost!AH$3=1,$B19,$B33)</f>
        <v>8</v>
      </c>
      <c r="AI49" s="147">
        <f>IF(Cost!AI$3=1,$B19,$B33)</f>
        <v>8</v>
      </c>
      <c r="AJ49" s="147">
        <f>IF(Cost!AJ$3=1,$B19,$B33)</f>
        <v>8</v>
      </c>
      <c r="AK49" s="147">
        <f>IF(Cost!AK$3=1,$B19,$B33)</f>
        <v>8</v>
      </c>
      <c r="AL49" s="147">
        <f>IF(Cost!AL$3=1,$B19,$B33)</f>
        <v>8</v>
      </c>
      <c r="AM49" s="147">
        <f>IF(Cost!AM$3=1,$B19,$B33)</f>
        <v>8</v>
      </c>
      <c r="AN49" s="147">
        <f>IF(Cost!AN$3=1,$B19,$B33)</f>
        <v>8</v>
      </c>
      <c r="AO49" s="147">
        <f>IF(Cost!AO$3=1,$B19,$B33)</f>
        <v>8</v>
      </c>
      <c r="AP49" s="147">
        <f>IF(Cost!AP$3=1,$B19,$B33)</f>
        <v>8</v>
      </c>
      <c r="AQ49" s="147">
        <f>IF(Cost!AQ$3=1,$B19,$B33)</f>
        <v>8</v>
      </c>
      <c r="AR49" s="147">
        <f>IF(Cost!AR$3=1,$B19,$B33)</f>
        <v>8</v>
      </c>
      <c r="AS49" s="147">
        <f>IF(Cost!AS$3=1,$B19,$B33)</f>
        <v>8</v>
      </c>
      <c r="AT49" s="147">
        <f>IF(Cost!AT$3=1,$B19,$B33)</f>
        <v>8</v>
      </c>
      <c r="AU49" s="147">
        <f>IF(Cost!AU$3=1,$B19,$B33)</f>
        <v>8</v>
      </c>
      <c r="AV49" s="147">
        <f>IF(Cost!AV$3=1,$B19,$B33)</f>
        <v>8</v>
      </c>
      <c r="AW49" s="147">
        <f>IF(Cost!AW$3=1,$B19,$B33)</f>
        <v>8</v>
      </c>
      <c r="AX49" s="147">
        <f>IF(Cost!AX$3=1,$B19,$B33)</f>
        <v>8</v>
      </c>
      <c r="AY49" s="147">
        <f>IF(Cost!AY$3=1,$B19,$B33)</f>
        <v>8</v>
      </c>
      <c r="AZ49" s="147">
        <f>IF(Cost!AZ$3=1,$B19,$B33)</f>
        <v>8</v>
      </c>
      <c r="BA49" s="147">
        <f>IF(Cost!BA$3=1,$B19,$B33)</f>
        <v>8</v>
      </c>
      <c r="BB49" s="147">
        <f>IF(Cost!BB$3=1,$B19,$B33)</f>
        <v>8</v>
      </c>
      <c r="BC49" s="147">
        <f>IF(Cost!BC$3=1,$B19,$B33)</f>
        <v>8</v>
      </c>
      <c r="BD49" s="147">
        <f>IF(Cost!BD$3=1,$B19,$B33)</f>
        <v>8</v>
      </c>
      <c r="BE49" s="147">
        <f>IF(Cost!BE$3=1,$B19,$B33)</f>
        <v>8</v>
      </c>
      <c r="BF49" s="147">
        <f>IF(Cost!BF$3=1,$B19,$B33)</f>
        <v>8</v>
      </c>
      <c r="BG49" s="147">
        <f>IF(Cost!BG$3=1,$B19,$B33)</f>
        <v>8</v>
      </c>
      <c r="BH49" s="147">
        <f>IF(Cost!BH$3=1,$B19,$B33)</f>
        <v>8</v>
      </c>
      <c r="BI49" s="147">
        <f>IF(Cost!BI$3=1,$B19,$B33)</f>
        <v>8</v>
      </c>
      <c r="BJ49" s="147">
        <f>IF(Cost!BJ$3=1,$B19,$B33)</f>
        <v>8</v>
      </c>
      <c r="BK49" s="147">
        <f>IF(Cost!BK$3=1,$B19,$B33)</f>
        <v>8</v>
      </c>
      <c r="BL49" s="147">
        <f>IF(Cost!BL$3=1,$B19,$B33)</f>
        <v>8</v>
      </c>
      <c r="BM49" s="147">
        <f>IF(Cost!BM$3=1,$B19,$B33)</f>
        <v>8</v>
      </c>
      <c r="BN49" s="147">
        <f>IF(Cost!BN$3=1,$B19,$B33)</f>
        <v>8</v>
      </c>
      <c r="BO49" s="147">
        <f>IF(Cost!BO$3=1,$B19,$B33)</f>
        <v>8</v>
      </c>
      <c r="BP49" s="147">
        <f>IF(Cost!BP$3=1,$B19,$B33)</f>
        <v>8</v>
      </c>
      <c r="BQ49" s="147">
        <f>IF(Cost!BQ$3=1,$B19,$B33)</f>
        <v>8</v>
      </c>
      <c r="BR49" s="147">
        <f>IF(Cost!BR$3=1,$B19,$B33)</f>
        <v>8</v>
      </c>
      <c r="BS49" s="147">
        <f>IF(Cost!BS$3=1,$B19,$B33)</f>
        <v>8</v>
      </c>
      <c r="BT49" s="147">
        <f>IF(Cost!BT$3=1,$B19,$B33)</f>
        <v>8</v>
      </c>
      <c r="BU49" s="147">
        <f>IF(Cost!BU$3=1,$B19,$B33)</f>
        <v>8</v>
      </c>
      <c r="BV49" s="147">
        <f>IF(Cost!BV$3=1,$B19,$B33)</f>
        <v>8</v>
      </c>
      <c r="BW49" s="147">
        <f>IF(Cost!BW$3=1,$B19,$B33)</f>
        <v>8</v>
      </c>
      <c r="BX49" s="147">
        <f>IF(Cost!BX$3=1,$B19,$B33)</f>
        <v>8</v>
      </c>
      <c r="BY49" s="147">
        <f>IF(Cost!BY$3=1,$B19,$B33)</f>
        <v>8</v>
      </c>
      <c r="BZ49" s="147">
        <f>IF(Cost!BZ$3=1,$B19,$B33)</f>
        <v>8</v>
      </c>
      <c r="CA49" s="147">
        <f>IF(Cost!CA$3=1,$B19,$B33)</f>
        <v>8</v>
      </c>
      <c r="CB49" s="147">
        <f>IF(Cost!CB$3=1,$B19,$B33)</f>
        <v>8</v>
      </c>
      <c r="CC49" s="147">
        <f>IF(Cost!CC$3=1,$B19,$B33)</f>
        <v>8</v>
      </c>
      <c r="CD49" s="147">
        <f>IF(Cost!CD$3=1,$B19,$B33)</f>
        <v>8</v>
      </c>
      <c r="CE49" s="147">
        <f>IF(Cost!CE$3=1,$B19,$B33)</f>
        <v>8</v>
      </c>
      <c r="CF49" s="147">
        <f>IF(Cost!CF$3=1,$B19,$B33)</f>
        <v>8</v>
      </c>
      <c r="CG49" s="147">
        <f>IF(Cost!CG$3=1,$B19,$B33)</f>
        <v>8</v>
      </c>
      <c r="CH49" s="147">
        <f>IF(Cost!CH$3=1,$B19,$B33)</f>
        <v>8</v>
      </c>
      <c r="CI49" s="147">
        <f>IF(Cost!CI$3=1,$B19,$B33)</f>
        <v>8</v>
      </c>
      <c r="CJ49" s="147">
        <f>IF(Cost!CJ$3=1,$B19,$B33)</f>
        <v>8</v>
      </c>
      <c r="CK49" s="147">
        <f>IF(Cost!CK$3=1,$B19,$B33)</f>
        <v>8</v>
      </c>
      <c r="CL49" s="147">
        <f>IF(Cost!CL$3=1,$B19,$B33)</f>
        <v>8</v>
      </c>
      <c r="CM49" s="147">
        <f>IF(Cost!CM$3=1,$B19,$B33)</f>
        <v>8</v>
      </c>
      <c r="CN49" s="147">
        <f>IF(Cost!CN$3=1,$B19,$B33)</f>
        <v>8</v>
      </c>
      <c r="CO49" s="147">
        <f>IF(Cost!CO$3=1,$B19,$B33)</f>
        <v>8</v>
      </c>
      <c r="CP49" s="147">
        <f>IF(Cost!CP$3=1,$B19,$B33)</f>
        <v>8</v>
      </c>
      <c r="CQ49" s="147">
        <f>IF(Cost!CQ$3=1,$B19,$B33)</f>
        <v>8</v>
      </c>
      <c r="CR49" s="147">
        <f>IF(Cost!CR$3=1,$B19,$B33)</f>
        <v>8</v>
      </c>
      <c r="CS49" s="147">
        <f>IF(Cost!CS$3=1,$B19,$B33)</f>
        <v>8</v>
      </c>
      <c r="CT49" s="147">
        <f>IF(Cost!CT$3=1,$B19,$B33)</f>
        <v>8</v>
      </c>
      <c r="CU49" s="147">
        <f>IF(Cost!CU$3=1,$B19,$B33)</f>
        <v>8</v>
      </c>
      <c r="CV49" s="147">
        <f>IF(Cost!CV$3=1,$B19,$B33)</f>
        <v>8</v>
      </c>
      <c r="CW49" s="147">
        <f>IF(Cost!CW$3=1,$B19,$B33)</f>
        <v>8</v>
      </c>
      <c r="CX49" s="147">
        <f>IF(Cost!CX$3=1,$B19,$B33)</f>
        <v>12</v>
      </c>
      <c r="CY49" s="147">
        <f>IF(Cost!CY$3=1,$B19,$B33)</f>
        <v>12</v>
      </c>
      <c r="CZ49" s="147">
        <f>IF(Cost!CZ$3=1,$B19,$B33)</f>
        <v>12</v>
      </c>
    </row>
    <row r="50" spans="1:104" ht="12.75">
      <c r="A50" s="142">
        <v>2</v>
      </c>
      <c r="B50" s="147">
        <f>IF(Cost!$B$3=1,$B20,$B34)</f>
        <v>10</v>
      </c>
      <c r="C50" s="147">
        <f>IF(Cost!$C$3=1,$B20,$B34)</f>
        <v>10</v>
      </c>
      <c r="D50" s="147">
        <f>IF(Cost!$D$3=1,$B20,$B34)</f>
        <v>10</v>
      </c>
      <c r="E50" s="147">
        <f>IF(Cost!$E$3=1,$B20,$B34)</f>
        <v>10</v>
      </c>
      <c r="F50" s="147">
        <f>IF(Cost!$F$3=1,$B20,$B34)</f>
        <v>10</v>
      </c>
      <c r="G50" s="147">
        <f>IF(Cost!$G$3=1,$B20,$B34)</f>
        <v>10</v>
      </c>
      <c r="H50" s="147">
        <f>IF(Cost!$H$3=1,$B20,$B34)</f>
        <v>10</v>
      </c>
      <c r="I50" s="147">
        <f>IF(Cost!$I$3=1,$B20,$B34)</f>
        <v>10</v>
      </c>
      <c r="J50" s="147">
        <f>IF(Cost!$J$3=1,$B20,$B34)</f>
        <v>10</v>
      </c>
      <c r="K50" s="147">
        <f>IF(Cost!$K$3=1,$B20,$B34)</f>
        <v>10</v>
      </c>
      <c r="L50" s="147">
        <f>IF(Cost!$L$3=1,$B20,$B34)</f>
        <v>10</v>
      </c>
      <c r="M50" s="147">
        <f>IF(Cost!$M$3=1,$B20,$B34)</f>
        <v>10</v>
      </c>
      <c r="N50" s="147">
        <f>IF(Cost!$N$3=1,$B20,$B34)</f>
        <v>10</v>
      </c>
      <c r="O50" s="147">
        <f>IF(Cost!$O$3=1,$B20,$B34)</f>
        <v>10</v>
      </c>
      <c r="P50" s="147">
        <f>IF(Cost!$P$3=1,$B20,$B34)</f>
        <v>10</v>
      </c>
      <c r="Q50" s="147">
        <f>IF(Cost!$Q$3=1,$B20,$B34)</f>
        <v>10</v>
      </c>
      <c r="R50" s="147">
        <f>IF(Cost!$R$3=1,$B20,$B34)</f>
        <v>10</v>
      </c>
      <c r="S50" s="147">
        <f>IF(Cost!$S$3=1,$B20,$B34)</f>
        <v>10</v>
      </c>
      <c r="T50" s="147">
        <f>IF(Cost!$T$3=1,$B20,$B34)</f>
        <v>10</v>
      </c>
      <c r="U50" s="147">
        <f>IF(Cost!U$3=1,$B20,$B34)</f>
        <v>10</v>
      </c>
      <c r="V50" s="147">
        <f>IF(Cost!V$3=1,$B20,$B34)</f>
        <v>10</v>
      </c>
      <c r="W50" s="147">
        <f>IF(Cost!W$3=1,$B20,$B34)</f>
        <v>10</v>
      </c>
      <c r="X50" s="147">
        <f>IF(Cost!X$3=1,$B20,$B34)</f>
        <v>10</v>
      </c>
      <c r="Y50" s="147">
        <f>IF(Cost!Y$3=1,$B20,$B34)</f>
        <v>10</v>
      </c>
      <c r="Z50" s="147">
        <f>IF(Cost!Z$3=1,$B20,$B34)</f>
        <v>10</v>
      </c>
      <c r="AA50" s="147">
        <f>IF(Cost!AA$3=1,$B20,$B34)</f>
        <v>10</v>
      </c>
      <c r="AB50" s="147">
        <f>IF(Cost!AB$3=1,$B20,$B34)</f>
        <v>10</v>
      </c>
      <c r="AC50" s="147">
        <f>IF(Cost!AC$3=1,$B20,$B34)</f>
        <v>10</v>
      </c>
      <c r="AD50" s="147">
        <f>IF(Cost!AD$3=1,$B20,$B34)</f>
        <v>10</v>
      </c>
      <c r="AE50" s="147">
        <f>IF(Cost!AE$3=1,$B20,$B34)</f>
        <v>10</v>
      </c>
      <c r="AF50" s="147">
        <f>IF(Cost!AF$3=1,$B20,$B34)</f>
        <v>10</v>
      </c>
      <c r="AG50" s="147">
        <f>IF(Cost!AG$3=1,$B20,$B34)</f>
        <v>10</v>
      </c>
      <c r="AH50" s="147">
        <f>IF(Cost!AH$3=1,$B20,$B34)</f>
        <v>10</v>
      </c>
      <c r="AI50" s="147">
        <f>IF(Cost!AI$3=1,$B20,$B34)</f>
        <v>10</v>
      </c>
      <c r="AJ50" s="147">
        <f>IF(Cost!AJ$3=1,$B20,$B34)</f>
        <v>10</v>
      </c>
      <c r="AK50" s="147">
        <f>IF(Cost!AK$3=1,$B20,$B34)</f>
        <v>10</v>
      </c>
      <c r="AL50" s="147">
        <f>IF(Cost!AL$3=1,$B20,$B34)</f>
        <v>10</v>
      </c>
      <c r="AM50" s="147">
        <f>IF(Cost!AM$3=1,$B20,$B34)</f>
        <v>10</v>
      </c>
      <c r="AN50" s="147">
        <f>IF(Cost!AN$3=1,$B20,$B34)</f>
        <v>10</v>
      </c>
      <c r="AO50" s="147">
        <f>IF(Cost!AO$3=1,$B20,$B34)</f>
        <v>10</v>
      </c>
      <c r="AP50" s="147">
        <f>IF(Cost!AP$3=1,$B20,$B34)</f>
        <v>10</v>
      </c>
      <c r="AQ50" s="147">
        <f>IF(Cost!AQ$3=1,$B20,$B34)</f>
        <v>10</v>
      </c>
      <c r="AR50" s="147">
        <f>IF(Cost!AR$3=1,$B20,$B34)</f>
        <v>10</v>
      </c>
      <c r="AS50" s="147">
        <f>IF(Cost!AS$3=1,$B20,$B34)</f>
        <v>10</v>
      </c>
      <c r="AT50" s="147">
        <f>IF(Cost!AT$3=1,$B20,$B34)</f>
        <v>10</v>
      </c>
      <c r="AU50" s="147">
        <f>IF(Cost!AU$3=1,$B20,$B34)</f>
        <v>10</v>
      </c>
      <c r="AV50" s="147">
        <f>IF(Cost!AV$3=1,$B20,$B34)</f>
        <v>10</v>
      </c>
      <c r="AW50" s="147">
        <f>IF(Cost!AW$3=1,$B20,$B34)</f>
        <v>10</v>
      </c>
      <c r="AX50" s="147">
        <f>IF(Cost!AX$3=1,$B20,$B34)</f>
        <v>10</v>
      </c>
      <c r="AY50" s="147">
        <f>IF(Cost!AY$3=1,$B20,$B34)</f>
        <v>10</v>
      </c>
      <c r="AZ50" s="147">
        <f>IF(Cost!AZ$3=1,$B20,$B34)</f>
        <v>10</v>
      </c>
      <c r="BA50" s="147">
        <f>IF(Cost!BA$3=1,$B20,$B34)</f>
        <v>10</v>
      </c>
      <c r="BB50" s="147">
        <f>IF(Cost!BB$3=1,$B20,$B34)</f>
        <v>10</v>
      </c>
      <c r="BC50" s="147">
        <f>IF(Cost!BC$3=1,$B20,$B34)</f>
        <v>10</v>
      </c>
      <c r="BD50" s="147">
        <f>IF(Cost!BD$3=1,$B20,$B34)</f>
        <v>10</v>
      </c>
      <c r="BE50" s="147">
        <f>IF(Cost!BE$3=1,$B20,$B34)</f>
        <v>10</v>
      </c>
      <c r="BF50" s="147">
        <f>IF(Cost!BF$3=1,$B20,$B34)</f>
        <v>10</v>
      </c>
      <c r="BG50" s="147">
        <f>IF(Cost!BG$3=1,$B20,$B34)</f>
        <v>10</v>
      </c>
      <c r="BH50" s="147">
        <f>IF(Cost!BH$3=1,$B20,$B34)</f>
        <v>10</v>
      </c>
      <c r="BI50" s="147">
        <f>IF(Cost!BI$3=1,$B20,$B34)</f>
        <v>10</v>
      </c>
      <c r="BJ50" s="147">
        <f>IF(Cost!BJ$3=1,$B20,$B34)</f>
        <v>10</v>
      </c>
      <c r="BK50" s="147">
        <f>IF(Cost!BK$3=1,$B20,$B34)</f>
        <v>10</v>
      </c>
      <c r="BL50" s="147">
        <f>IF(Cost!BL$3=1,$B20,$B34)</f>
        <v>10</v>
      </c>
      <c r="BM50" s="147">
        <f>IF(Cost!BM$3=1,$B20,$B34)</f>
        <v>10</v>
      </c>
      <c r="BN50" s="147">
        <f>IF(Cost!BN$3=1,$B20,$B34)</f>
        <v>10</v>
      </c>
      <c r="BO50" s="147">
        <f>IF(Cost!BO$3=1,$B20,$B34)</f>
        <v>10</v>
      </c>
      <c r="BP50" s="147">
        <f>IF(Cost!BP$3=1,$B20,$B34)</f>
        <v>10</v>
      </c>
      <c r="BQ50" s="147">
        <f>IF(Cost!BQ$3=1,$B20,$B34)</f>
        <v>10</v>
      </c>
      <c r="BR50" s="147">
        <f>IF(Cost!BR$3=1,$B20,$B34)</f>
        <v>10</v>
      </c>
      <c r="BS50" s="147">
        <f>IF(Cost!BS$3=1,$B20,$B34)</f>
        <v>10</v>
      </c>
      <c r="BT50" s="147">
        <f>IF(Cost!BT$3=1,$B20,$B34)</f>
        <v>10</v>
      </c>
      <c r="BU50" s="147">
        <f>IF(Cost!BU$3=1,$B20,$B34)</f>
        <v>10</v>
      </c>
      <c r="BV50" s="147">
        <f>IF(Cost!BV$3=1,$B20,$B34)</f>
        <v>10</v>
      </c>
      <c r="BW50" s="147">
        <f>IF(Cost!BW$3=1,$B20,$B34)</f>
        <v>10</v>
      </c>
      <c r="BX50" s="147">
        <f>IF(Cost!BX$3=1,$B20,$B34)</f>
        <v>10</v>
      </c>
      <c r="BY50" s="147">
        <f>IF(Cost!BY$3=1,$B20,$B34)</f>
        <v>10</v>
      </c>
      <c r="BZ50" s="147">
        <f>IF(Cost!BZ$3=1,$B20,$B34)</f>
        <v>10</v>
      </c>
      <c r="CA50" s="147">
        <f>IF(Cost!CA$3=1,$B20,$B34)</f>
        <v>10</v>
      </c>
      <c r="CB50" s="147">
        <f>IF(Cost!CB$3=1,$B20,$B34)</f>
        <v>10</v>
      </c>
      <c r="CC50" s="147">
        <f>IF(Cost!CC$3=1,$B20,$B34)</f>
        <v>10</v>
      </c>
      <c r="CD50" s="147">
        <f>IF(Cost!CD$3=1,$B20,$B34)</f>
        <v>10</v>
      </c>
      <c r="CE50" s="147">
        <f>IF(Cost!CE$3=1,$B20,$B34)</f>
        <v>10</v>
      </c>
      <c r="CF50" s="147">
        <f>IF(Cost!CF$3=1,$B20,$B34)</f>
        <v>10</v>
      </c>
      <c r="CG50" s="147">
        <f>IF(Cost!CG$3=1,$B20,$B34)</f>
        <v>10</v>
      </c>
      <c r="CH50" s="147">
        <f>IF(Cost!CH$3=1,$B20,$B34)</f>
        <v>10</v>
      </c>
      <c r="CI50" s="147">
        <f>IF(Cost!CI$3=1,$B20,$B34)</f>
        <v>10</v>
      </c>
      <c r="CJ50" s="147">
        <f>IF(Cost!CJ$3=1,$B20,$B34)</f>
        <v>10</v>
      </c>
      <c r="CK50" s="147">
        <f>IF(Cost!CK$3=1,$B20,$B34)</f>
        <v>10</v>
      </c>
      <c r="CL50" s="147">
        <f>IF(Cost!CL$3=1,$B20,$B34)</f>
        <v>10</v>
      </c>
      <c r="CM50" s="147">
        <f>IF(Cost!CM$3=1,$B20,$B34)</f>
        <v>10</v>
      </c>
      <c r="CN50" s="147">
        <f>IF(Cost!CN$3=1,$B20,$B34)</f>
        <v>10</v>
      </c>
      <c r="CO50" s="147">
        <f>IF(Cost!CO$3=1,$B20,$B34)</f>
        <v>10</v>
      </c>
      <c r="CP50" s="147">
        <f>IF(Cost!CP$3=1,$B20,$B34)</f>
        <v>10</v>
      </c>
      <c r="CQ50" s="147">
        <f>IF(Cost!CQ$3=1,$B20,$B34)</f>
        <v>10</v>
      </c>
      <c r="CR50" s="147">
        <f>IF(Cost!CR$3=1,$B20,$B34)</f>
        <v>10</v>
      </c>
      <c r="CS50" s="147">
        <f>IF(Cost!CS$3=1,$B20,$B34)</f>
        <v>10</v>
      </c>
      <c r="CT50" s="147">
        <f>IF(Cost!CT$3=1,$B20,$B34)</f>
        <v>10</v>
      </c>
      <c r="CU50" s="147">
        <f>IF(Cost!CU$3=1,$B20,$B34)</f>
        <v>10</v>
      </c>
      <c r="CV50" s="147">
        <f>IF(Cost!CV$3=1,$B20,$B34)</f>
        <v>10</v>
      </c>
      <c r="CW50" s="147">
        <f>IF(Cost!CW$3=1,$B20,$B34)</f>
        <v>10</v>
      </c>
      <c r="CX50" s="147">
        <f>IF(Cost!CX$3=1,$B20,$B34)</f>
        <v>15</v>
      </c>
      <c r="CY50" s="147">
        <f>IF(Cost!CY$3=1,$B20,$B34)</f>
        <v>15</v>
      </c>
      <c r="CZ50" s="147">
        <f>IF(Cost!CZ$3=1,$B20,$B34)</f>
        <v>15</v>
      </c>
    </row>
    <row r="51" spans="1:104" ht="12.75">
      <c r="A51" s="142">
        <v>3</v>
      </c>
      <c r="B51" s="147">
        <f>IF(Cost!$B$3=1,$B21,$B35)</f>
        <v>12</v>
      </c>
      <c r="C51" s="147">
        <f>IF(Cost!$C$3=1,$B21,$B35)</f>
        <v>12</v>
      </c>
      <c r="D51" s="147">
        <f>IF(Cost!$D$3=1,$B21,$B35)</f>
        <v>12</v>
      </c>
      <c r="E51" s="147">
        <f>IF(Cost!$E$3=1,$B21,$B35)</f>
        <v>12</v>
      </c>
      <c r="F51" s="147">
        <f>IF(Cost!$F$3=1,$B21,$B35)</f>
        <v>12</v>
      </c>
      <c r="G51" s="147">
        <f>IF(Cost!$G$3=1,$B21,$B35)</f>
        <v>12</v>
      </c>
      <c r="H51" s="147">
        <f>IF(Cost!$H$3=1,$B21,$B35)</f>
        <v>12</v>
      </c>
      <c r="I51" s="147">
        <f>IF(Cost!$I$3=1,$B21,$B35)</f>
        <v>12</v>
      </c>
      <c r="J51" s="147">
        <f>IF(Cost!$J$3=1,$B21,$B35)</f>
        <v>12</v>
      </c>
      <c r="K51" s="147">
        <f>IF(Cost!$K$3=1,$B21,$B35)</f>
        <v>12</v>
      </c>
      <c r="L51" s="147">
        <f>IF(Cost!$L$3=1,$B21,$B35)</f>
        <v>12</v>
      </c>
      <c r="M51" s="147">
        <f>IF(Cost!$M$3=1,$B21,$B35)</f>
        <v>12</v>
      </c>
      <c r="N51" s="147">
        <f>IF(Cost!$N$3=1,$B21,$B35)</f>
        <v>12</v>
      </c>
      <c r="O51" s="147">
        <f>IF(Cost!$O$3=1,$B21,$B35)</f>
        <v>12</v>
      </c>
      <c r="P51" s="147">
        <f>IF(Cost!$P$3=1,$B21,$B35)</f>
        <v>12</v>
      </c>
      <c r="Q51" s="147">
        <f>IF(Cost!$Q$3=1,$B21,$B35)</f>
        <v>12</v>
      </c>
      <c r="R51" s="147">
        <f>IF(Cost!$R$3=1,$B21,$B35)</f>
        <v>12</v>
      </c>
      <c r="S51" s="147">
        <f>IF(Cost!$S$3=1,$B21,$B35)</f>
        <v>12</v>
      </c>
      <c r="T51" s="147">
        <f>IF(Cost!$T$3=1,$B21,$B35)</f>
        <v>12</v>
      </c>
      <c r="U51" s="147">
        <f>IF(Cost!U$3=1,$B21,$B35)</f>
        <v>12</v>
      </c>
      <c r="V51" s="147">
        <f>IF(Cost!V$3=1,$B21,$B35)</f>
        <v>12</v>
      </c>
      <c r="W51" s="147">
        <f>IF(Cost!W$3=1,$B21,$B35)</f>
        <v>12</v>
      </c>
      <c r="X51" s="147">
        <f>IF(Cost!X$3=1,$B21,$B35)</f>
        <v>12</v>
      </c>
      <c r="Y51" s="147">
        <f>IF(Cost!Y$3=1,$B21,$B35)</f>
        <v>12</v>
      </c>
      <c r="Z51" s="147">
        <f>IF(Cost!Z$3=1,$B21,$B35)</f>
        <v>12</v>
      </c>
      <c r="AA51" s="147">
        <f>IF(Cost!AA$3=1,$B21,$B35)</f>
        <v>12</v>
      </c>
      <c r="AB51" s="147">
        <f>IF(Cost!AB$3=1,$B21,$B35)</f>
        <v>12</v>
      </c>
      <c r="AC51" s="147">
        <f>IF(Cost!AC$3=1,$B21,$B35)</f>
        <v>12</v>
      </c>
      <c r="AD51" s="147">
        <f>IF(Cost!AD$3=1,$B21,$B35)</f>
        <v>12</v>
      </c>
      <c r="AE51" s="147">
        <f>IF(Cost!AE$3=1,$B21,$B35)</f>
        <v>12</v>
      </c>
      <c r="AF51" s="147">
        <f>IF(Cost!AF$3=1,$B21,$B35)</f>
        <v>12</v>
      </c>
      <c r="AG51" s="147">
        <f>IF(Cost!AG$3=1,$B21,$B35)</f>
        <v>12</v>
      </c>
      <c r="AH51" s="147">
        <f>IF(Cost!AH$3=1,$B21,$B35)</f>
        <v>12</v>
      </c>
      <c r="AI51" s="147">
        <f>IF(Cost!AI$3=1,$B21,$B35)</f>
        <v>12</v>
      </c>
      <c r="AJ51" s="147">
        <f>IF(Cost!AJ$3=1,$B21,$B35)</f>
        <v>12</v>
      </c>
      <c r="AK51" s="147">
        <f>IF(Cost!AK$3=1,$B21,$B35)</f>
        <v>12</v>
      </c>
      <c r="AL51" s="147">
        <f>IF(Cost!AL$3=1,$B21,$B35)</f>
        <v>12</v>
      </c>
      <c r="AM51" s="147">
        <f>IF(Cost!AM$3=1,$B21,$B35)</f>
        <v>12</v>
      </c>
      <c r="AN51" s="147">
        <f>IF(Cost!AN$3=1,$B21,$B35)</f>
        <v>12</v>
      </c>
      <c r="AO51" s="147">
        <f>IF(Cost!AO$3=1,$B21,$B35)</f>
        <v>12</v>
      </c>
      <c r="AP51" s="147">
        <f>IF(Cost!AP$3=1,$B21,$B35)</f>
        <v>12</v>
      </c>
      <c r="AQ51" s="147">
        <f>IF(Cost!AQ$3=1,$B21,$B35)</f>
        <v>12</v>
      </c>
      <c r="AR51" s="147">
        <f>IF(Cost!AR$3=1,$B21,$B35)</f>
        <v>12</v>
      </c>
      <c r="AS51" s="147">
        <f>IF(Cost!AS$3=1,$B21,$B35)</f>
        <v>12</v>
      </c>
      <c r="AT51" s="147">
        <f>IF(Cost!AT$3=1,$B21,$B35)</f>
        <v>12</v>
      </c>
      <c r="AU51" s="147">
        <f>IF(Cost!AU$3=1,$B21,$B35)</f>
        <v>12</v>
      </c>
      <c r="AV51" s="147">
        <f>IF(Cost!AV$3=1,$B21,$B35)</f>
        <v>12</v>
      </c>
      <c r="AW51" s="147">
        <f>IF(Cost!AW$3=1,$B21,$B35)</f>
        <v>12</v>
      </c>
      <c r="AX51" s="147">
        <f>IF(Cost!AX$3=1,$B21,$B35)</f>
        <v>12</v>
      </c>
      <c r="AY51" s="147">
        <f>IF(Cost!AY$3=1,$B21,$B35)</f>
        <v>12</v>
      </c>
      <c r="AZ51" s="147">
        <f>IF(Cost!AZ$3=1,$B21,$B35)</f>
        <v>12</v>
      </c>
      <c r="BA51" s="147">
        <f>IF(Cost!BA$3=1,$B21,$B35)</f>
        <v>12</v>
      </c>
      <c r="BB51" s="147">
        <f>IF(Cost!BB$3=1,$B21,$B35)</f>
        <v>12</v>
      </c>
      <c r="BC51" s="147">
        <f>IF(Cost!BC$3=1,$B21,$B35)</f>
        <v>12</v>
      </c>
      <c r="BD51" s="147">
        <f>IF(Cost!BD$3=1,$B21,$B35)</f>
        <v>12</v>
      </c>
      <c r="BE51" s="147">
        <f>IF(Cost!BE$3=1,$B21,$B35)</f>
        <v>12</v>
      </c>
      <c r="BF51" s="147">
        <f>IF(Cost!BF$3=1,$B21,$B35)</f>
        <v>12</v>
      </c>
      <c r="BG51" s="147">
        <f>IF(Cost!BG$3=1,$B21,$B35)</f>
        <v>12</v>
      </c>
      <c r="BH51" s="147">
        <f>IF(Cost!BH$3=1,$B21,$B35)</f>
        <v>12</v>
      </c>
      <c r="BI51" s="147">
        <f>IF(Cost!BI$3=1,$B21,$B35)</f>
        <v>12</v>
      </c>
      <c r="BJ51" s="147">
        <f>IF(Cost!BJ$3=1,$B21,$B35)</f>
        <v>12</v>
      </c>
      <c r="BK51" s="147">
        <f>IF(Cost!BK$3=1,$B21,$B35)</f>
        <v>12</v>
      </c>
      <c r="BL51" s="147">
        <f>IF(Cost!BL$3=1,$B21,$B35)</f>
        <v>12</v>
      </c>
      <c r="BM51" s="147">
        <f>IF(Cost!BM$3=1,$B21,$B35)</f>
        <v>12</v>
      </c>
      <c r="BN51" s="147">
        <f>IF(Cost!BN$3=1,$B21,$B35)</f>
        <v>12</v>
      </c>
      <c r="BO51" s="147">
        <f>IF(Cost!BO$3=1,$B21,$B35)</f>
        <v>12</v>
      </c>
      <c r="BP51" s="147">
        <f>IF(Cost!BP$3=1,$B21,$B35)</f>
        <v>12</v>
      </c>
      <c r="BQ51" s="147">
        <f>IF(Cost!BQ$3=1,$B21,$B35)</f>
        <v>12</v>
      </c>
      <c r="BR51" s="147">
        <f>IF(Cost!BR$3=1,$B21,$B35)</f>
        <v>12</v>
      </c>
      <c r="BS51" s="147">
        <f>IF(Cost!BS$3=1,$B21,$B35)</f>
        <v>12</v>
      </c>
      <c r="BT51" s="147">
        <f>IF(Cost!BT$3=1,$B21,$B35)</f>
        <v>12</v>
      </c>
      <c r="BU51" s="147">
        <f>IF(Cost!BU$3=1,$B21,$B35)</f>
        <v>12</v>
      </c>
      <c r="BV51" s="147">
        <f>IF(Cost!BV$3=1,$B21,$B35)</f>
        <v>12</v>
      </c>
      <c r="BW51" s="147">
        <f>IF(Cost!BW$3=1,$B21,$B35)</f>
        <v>12</v>
      </c>
      <c r="BX51" s="147">
        <f>IF(Cost!BX$3=1,$B21,$B35)</f>
        <v>12</v>
      </c>
      <c r="BY51" s="147">
        <f>IF(Cost!BY$3=1,$B21,$B35)</f>
        <v>12</v>
      </c>
      <c r="BZ51" s="147">
        <f>IF(Cost!BZ$3=1,$B21,$B35)</f>
        <v>12</v>
      </c>
      <c r="CA51" s="147">
        <f>IF(Cost!CA$3=1,$B21,$B35)</f>
        <v>12</v>
      </c>
      <c r="CB51" s="147">
        <f>IF(Cost!CB$3=1,$B21,$B35)</f>
        <v>12</v>
      </c>
      <c r="CC51" s="147">
        <f>IF(Cost!CC$3=1,$B21,$B35)</f>
        <v>12</v>
      </c>
      <c r="CD51" s="147">
        <f>IF(Cost!CD$3=1,$B21,$B35)</f>
        <v>12</v>
      </c>
      <c r="CE51" s="147">
        <f>IF(Cost!CE$3=1,$B21,$B35)</f>
        <v>12</v>
      </c>
      <c r="CF51" s="147">
        <f>IF(Cost!CF$3=1,$B21,$B35)</f>
        <v>12</v>
      </c>
      <c r="CG51" s="147">
        <f>IF(Cost!CG$3=1,$B21,$B35)</f>
        <v>12</v>
      </c>
      <c r="CH51" s="147">
        <f>IF(Cost!CH$3=1,$B21,$B35)</f>
        <v>12</v>
      </c>
      <c r="CI51" s="147">
        <f>IF(Cost!CI$3=1,$B21,$B35)</f>
        <v>12</v>
      </c>
      <c r="CJ51" s="147">
        <f>IF(Cost!CJ$3=1,$B21,$B35)</f>
        <v>12</v>
      </c>
      <c r="CK51" s="147">
        <f>IF(Cost!CK$3=1,$B21,$B35)</f>
        <v>12</v>
      </c>
      <c r="CL51" s="147">
        <f>IF(Cost!CL$3=1,$B21,$B35)</f>
        <v>12</v>
      </c>
      <c r="CM51" s="147">
        <f>IF(Cost!CM$3=1,$B21,$B35)</f>
        <v>12</v>
      </c>
      <c r="CN51" s="147">
        <f>IF(Cost!CN$3=1,$B21,$B35)</f>
        <v>12</v>
      </c>
      <c r="CO51" s="147">
        <f>IF(Cost!CO$3=1,$B21,$B35)</f>
        <v>12</v>
      </c>
      <c r="CP51" s="147">
        <f>IF(Cost!CP$3=1,$B21,$B35)</f>
        <v>12</v>
      </c>
      <c r="CQ51" s="147">
        <f>IF(Cost!CQ$3=1,$B21,$B35)</f>
        <v>12</v>
      </c>
      <c r="CR51" s="147">
        <f>IF(Cost!CR$3=1,$B21,$B35)</f>
        <v>12</v>
      </c>
      <c r="CS51" s="147">
        <f>IF(Cost!CS$3=1,$B21,$B35)</f>
        <v>12</v>
      </c>
      <c r="CT51" s="147">
        <f>IF(Cost!CT$3=1,$B21,$B35)</f>
        <v>12</v>
      </c>
      <c r="CU51" s="147">
        <f>IF(Cost!CU$3=1,$B21,$B35)</f>
        <v>12</v>
      </c>
      <c r="CV51" s="147">
        <f>IF(Cost!CV$3=1,$B21,$B35)</f>
        <v>12</v>
      </c>
      <c r="CW51" s="147">
        <f>IF(Cost!CW$3=1,$B21,$B35)</f>
        <v>12</v>
      </c>
      <c r="CX51" s="147">
        <f>IF(Cost!CX$3=1,$B21,$B35)</f>
        <v>18</v>
      </c>
      <c r="CY51" s="147">
        <f>IF(Cost!CY$3=1,$B21,$B35)</f>
        <v>18</v>
      </c>
      <c r="CZ51" s="147">
        <f>IF(Cost!CZ$3=1,$B21,$B35)</f>
        <v>18</v>
      </c>
    </row>
    <row r="52" spans="1:104" ht="12.75">
      <c r="A52" s="142">
        <v>4</v>
      </c>
      <c r="B52" s="147">
        <f>IF(Cost!$B$3=1,$B22,$B36)</f>
        <v>15</v>
      </c>
      <c r="C52" s="147">
        <f>IF(Cost!$C$3=1,$B22,$B36)</f>
        <v>15</v>
      </c>
      <c r="D52" s="147">
        <f>IF(Cost!$D$3=1,$B22,$B36)</f>
        <v>15</v>
      </c>
      <c r="E52" s="147">
        <f>IF(Cost!$E$3=1,$B22,$B36)</f>
        <v>15</v>
      </c>
      <c r="F52" s="147">
        <f>IF(Cost!$F$3=1,$B22,$B36)</f>
        <v>15</v>
      </c>
      <c r="G52" s="147">
        <f>IF(Cost!$G$3=1,$B22,$B36)</f>
        <v>15</v>
      </c>
      <c r="H52" s="147">
        <f>IF(Cost!$H$3=1,$B22,$B36)</f>
        <v>15</v>
      </c>
      <c r="I52" s="147">
        <f>IF(Cost!$I$3=1,$B22,$B36)</f>
        <v>15</v>
      </c>
      <c r="J52" s="147">
        <f>IF(Cost!$J$3=1,$B22,$B36)</f>
        <v>15</v>
      </c>
      <c r="K52" s="147">
        <f>IF(Cost!$K$3=1,$B22,$B36)</f>
        <v>15</v>
      </c>
      <c r="L52" s="147">
        <f>IF(Cost!$L$3=1,$B22,$B36)</f>
        <v>15</v>
      </c>
      <c r="M52" s="147">
        <f>IF(Cost!$M$3=1,$B22,$B36)</f>
        <v>15</v>
      </c>
      <c r="N52" s="147">
        <f>IF(Cost!$N$3=1,$B22,$B36)</f>
        <v>15</v>
      </c>
      <c r="O52" s="147">
        <f>IF(Cost!$O$3=1,$B22,$B36)</f>
        <v>15</v>
      </c>
      <c r="P52" s="147">
        <f>IF(Cost!$P$3=1,$B22,$B36)</f>
        <v>15</v>
      </c>
      <c r="Q52" s="147">
        <f>IF(Cost!$Q$3=1,$B22,$B36)</f>
        <v>15</v>
      </c>
      <c r="R52" s="147">
        <f>IF(Cost!$R$3=1,$B22,$B36)</f>
        <v>15</v>
      </c>
      <c r="S52" s="147">
        <f>IF(Cost!$S$3=1,$B22,$B36)</f>
        <v>15</v>
      </c>
      <c r="T52" s="147">
        <f>IF(Cost!$T$3=1,$B22,$B36)</f>
        <v>15</v>
      </c>
      <c r="U52" s="147">
        <f>IF(Cost!U$3=1,$B22,$B36)</f>
        <v>15</v>
      </c>
      <c r="V52" s="147">
        <f>IF(Cost!V$3=1,$B22,$B36)</f>
        <v>15</v>
      </c>
      <c r="W52" s="147">
        <f>IF(Cost!W$3=1,$B22,$B36)</f>
        <v>15</v>
      </c>
      <c r="X52" s="147">
        <f>IF(Cost!X$3=1,$B22,$B36)</f>
        <v>15</v>
      </c>
      <c r="Y52" s="147">
        <f>IF(Cost!Y$3=1,$B22,$B36)</f>
        <v>15</v>
      </c>
      <c r="Z52" s="147">
        <f>IF(Cost!Z$3=1,$B22,$B36)</f>
        <v>15</v>
      </c>
      <c r="AA52" s="147">
        <f>IF(Cost!AA$3=1,$B22,$B36)</f>
        <v>15</v>
      </c>
      <c r="AB52" s="147">
        <f>IF(Cost!AB$3=1,$B22,$B36)</f>
        <v>15</v>
      </c>
      <c r="AC52" s="147">
        <f>IF(Cost!AC$3=1,$B22,$B36)</f>
        <v>15</v>
      </c>
      <c r="AD52" s="147">
        <f>IF(Cost!AD$3=1,$B22,$B36)</f>
        <v>15</v>
      </c>
      <c r="AE52" s="147">
        <f>IF(Cost!AE$3=1,$B22,$B36)</f>
        <v>15</v>
      </c>
      <c r="AF52" s="147">
        <f>IF(Cost!AF$3=1,$B22,$B36)</f>
        <v>15</v>
      </c>
      <c r="AG52" s="147">
        <f>IF(Cost!AG$3=1,$B22,$B36)</f>
        <v>15</v>
      </c>
      <c r="AH52" s="147">
        <f>IF(Cost!AH$3=1,$B22,$B36)</f>
        <v>15</v>
      </c>
      <c r="AI52" s="147">
        <f>IF(Cost!AI$3=1,$B22,$B36)</f>
        <v>15</v>
      </c>
      <c r="AJ52" s="147">
        <f>IF(Cost!AJ$3=1,$B22,$B36)</f>
        <v>15</v>
      </c>
      <c r="AK52" s="147">
        <f>IF(Cost!AK$3=1,$B22,$B36)</f>
        <v>15</v>
      </c>
      <c r="AL52" s="147">
        <f>IF(Cost!AL$3=1,$B22,$B36)</f>
        <v>15</v>
      </c>
      <c r="AM52" s="147">
        <f>IF(Cost!AM$3=1,$B22,$B36)</f>
        <v>15</v>
      </c>
      <c r="AN52" s="147">
        <f>IF(Cost!AN$3=1,$B22,$B36)</f>
        <v>15</v>
      </c>
      <c r="AO52" s="147">
        <f>IF(Cost!AO$3=1,$B22,$B36)</f>
        <v>15</v>
      </c>
      <c r="AP52" s="147">
        <f>IF(Cost!AP$3=1,$B22,$B36)</f>
        <v>15</v>
      </c>
      <c r="AQ52" s="147">
        <f>IF(Cost!AQ$3=1,$B22,$B36)</f>
        <v>15</v>
      </c>
      <c r="AR52" s="147">
        <f>IF(Cost!AR$3=1,$B22,$B36)</f>
        <v>15</v>
      </c>
      <c r="AS52" s="147">
        <f>IF(Cost!AS$3=1,$B22,$B36)</f>
        <v>15</v>
      </c>
      <c r="AT52" s="147">
        <f>IF(Cost!AT$3=1,$B22,$B36)</f>
        <v>15</v>
      </c>
      <c r="AU52" s="147">
        <f>IF(Cost!AU$3=1,$B22,$B36)</f>
        <v>15</v>
      </c>
      <c r="AV52" s="147">
        <f>IF(Cost!AV$3=1,$B22,$B36)</f>
        <v>15</v>
      </c>
      <c r="AW52" s="147">
        <f>IF(Cost!AW$3=1,$B22,$B36)</f>
        <v>15</v>
      </c>
      <c r="AX52" s="147">
        <f>IF(Cost!AX$3=1,$B22,$B36)</f>
        <v>15</v>
      </c>
      <c r="AY52" s="147">
        <f>IF(Cost!AY$3=1,$B22,$B36)</f>
        <v>15</v>
      </c>
      <c r="AZ52" s="147">
        <f>IF(Cost!AZ$3=1,$B22,$B36)</f>
        <v>15</v>
      </c>
      <c r="BA52" s="147">
        <f>IF(Cost!BA$3=1,$B22,$B36)</f>
        <v>15</v>
      </c>
      <c r="BB52" s="147">
        <f>IF(Cost!BB$3=1,$B22,$B36)</f>
        <v>15</v>
      </c>
      <c r="BC52" s="147">
        <f>IF(Cost!BC$3=1,$B22,$B36)</f>
        <v>15</v>
      </c>
      <c r="BD52" s="147">
        <f>IF(Cost!BD$3=1,$B22,$B36)</f>
        <v>15</v>
      </c>
      <c r="BE52" s="147">
        <f>IF(Cost!BE$3=1,$B22,$B36)</f>
        <v>15</v>
      </c>
      <c r="BF52" s="147">
        <f>IF(Cost!BF$3=1,$B22,$B36)</f>
        <v>15</v>
      </c>
      <c r="BG52" s="147">
        <f>IF(Cost!BG$3=1,$B22,$B36)</f>
        <v>15</v>
      </c>
      <c r="BH52" s="147">
        <f>IF(Cost!BH$3=1,$B22,$B36)</f>
        <v>15</v>
      </c>
      <c r="BI52" s="147">
        <f>IF(Cost!BI$3=1,$B22,$B36)</f>
        <v>15</v>
      </c>
      <c r="BJ52" s="147">
        <f>IF(Cost!BJ$3=1,$B22,$B36)</f>
        <v>15</v>
      </c>
      <c r="BK52" s="147">
        <f>IF(Cost!BK$3=1,$B22,$B36)</f>
        <v>15</v>
      </c>
      <c r="BL52" s="147">
        <f>IF(Cost!BL$3=1,$B22,$B36)</f>
        <v>15</v>
      </c>
      <c r="BM52" s="147">
        <f>IF(Cost!BM$3=1,$B22,$B36)</f>
        <v>15</v>
      </c>
      <c r="BN52" s="147">
        <f>IF(Cost!BN$3=1,$B22,$B36)</f>
        <v>15</v>
      </c>
      <c r="BO52" s="147">
        <f>IF(Cost!BO$3=1,$B22,$B36)</f>
        <v>15</v>
      </c>
      <c r="BP52" s="147">
        <f>IF(Cost!BP$3=1,$B22,$B36)</f>
        <v>15</v>
      </c>
      <c r="BQ52" s="147">
        <f>IF(Cost!BQ$3=1,$B22,$B36)</f>
        <v>15</v>
      </c>
      <c r="BR52" s="147">
        <f>IF(Cost!BR$3=1,$B22,$B36)</f>
        <v>15</v>
      </c>
      <c r="BS52" s="147">
        <f>IF(Cost!BS$3=1,$B22,$B36)</f>
        <v>15</v>
      </c>
      <c r="BT52" s="147">
        <f>IF(Cost!BT$3=1,$B22,$B36)</f>
        <v>15</v>
      </c>
      <c r="BU52" s="147">
        <f>IF(Cost!BU$3=1,$B22,$B36)</f>
        <v>15</v>
      </c>
      <c r="BV52" s="147">
        <f>IF(Cost!BV$3=1,$B22,$B36)</f>
        <v>15</v>
      </c>
      <c r="BW52" s="147">
        <f>IF(Cost!BW$3=1,$B22,$B36)</f>
        <v>15</v>
      </c>
      <c r="BX52" s="147">
        <f>IF(Cost!BX$3=1,$B22,$B36)</f>
        <v>15</v>
      </c>
      <c r="BY52" s="147">
        <f>IF(Cost!BY$3=1,$B22,$B36)</f>
        <v>15</v>
      </c>
      <c r="BZ52" s="147">
        <f>IF(Cost!BZ$3=1,$B22,$B36)</f>
        <v>15</v>
      </c>
      <c r="CA52" s="147">
        <f>IF(Cost!CA$3=1,$B22,$B36)</f>
        <v>15</v>
      </c>
      <c r="CB52" s="147">
        <f>IF(Cost!CB$3=1,$B22,$B36)</f>
        <v>15</v>
      </c>
      <c r="CC52" s="147">
        <f>IF(Cost!CC$3=1,$B22,$B36)</f>
        <v>15</v>
      </c>
      <c r="CD52" s="147">
        <f>IF(Cost!CD$3=1,$B22,$B36)</f>
        <v>15</v>
      </c>
      <c r="CE52" s="147">
        <f>IF(Cost!CE$3=1,$B22,$B36)</f>
        <v>15</v>
      </c>
      <c r="CF52" s="147">
        <f>IF(Cost!CF$3=1,$B22,$B36)</f>
        <v>15</v>
      </c>
      <c r="CG52" s="147">
        <f>IF(Cost!CG$3=1,$B22,$B36)</f>
        <v>15</v>
      </c>
      <c r="CH52" s="147">
        <f>IF(Cost!CH$3=1,$B22,$B36)</f>
        <v>15</v>
      </c>
      <c r="CI52" s="147">
        <f>IF(Cost!CI$3=1,$B22,$B36)</f>
        <v>15</v>
      </c>
      <c r="CJ52" s="147">
        <f>IF(Cost!CJ$3=1,$B22,$B36)</f>
        <v>15</v>
      </c>
      <c r="CK52" s="147">
        <f>IF(Cost!CK$3=1,$B22,$B36)</f>
        <v>15</v>
      </c>
      <c r="CL52" s="147">
        <f>IF(Cost!CL$3=1,$B22,$B36)</f>
        <v>15</v>
      </c>
      <c r="CM52" s="147">
        <f>IF(Cost!CM$3=1,$B22,$B36)</f>
        <v>15</v>
      </c>
      <c r="CN52" s="147">
        <f>IF(Cost!CN$3=1,$B22,$B36)</f>
        <v>15</v>
      </c>
      <c r="CO52" s="147">
        <f>IF(Cost!CO$3=1,$B22,$B36)</f>
        <v>15</v>
      </c>
      <c r="CP52" s="147">
        <f>IF(Cost!CP$3=1,$B22,$B36)</f>
        <v>15</v>
      </c>
      <c r="CQ52" s="147">
        <f>IF(Cost!CQ$3=1,$B22,$B36)</f>
        <v>15</v>
      </c>
      <c r="CR52" s="147">
        <f>IF(Cost!CR$3=1,$B22,$B36)</f>
        <v>15</v>
      </c>
      <c r="CS52" s="147">
        <f>IF(Cost!CS$3=1,$B22,$B36)</f>
        <v>15</v>
      </c>
      <c r="CT52" s="147">
        <f>IF(Cost!CT$3=1,$B22,$B36)</f>
        <v>15</v>
      </c>
      <c r="CU52" s="147">
        <f>IF(Cost!CU$3=1,$B22,$B36)</f>
        <v>15</v>
      </c>
      <c r="CV52" s="147">
        <f>IF(Cost!CV$3=1,$B22,$B36)</f>
        <v>15</v>
      </c>
      <c r="CW52" s="147">
        <f>IF(Cost!CW$3=1,$B22,$B36)</f>
        <v>15</v>
      </c>
      <c r="CX52" s="147">
        <f>IF(Cost!CX$3=1,$B22,$B36)</f>
        <v>21</v>
      </c>
      <c r="CY52" s="147">
        <f>IF(Cost!CY$3=1,$B22,$B36)</f>
        <v>21</v>
      </c>
      <c r="CZ52" s="147">
        <f>IF(Cost!CZ$3=1,$B22,$B36)</f>
        <v>21</v>
      </c>
    </row>
    <row r="53" spans="1:104" ht="12.75">
      <c r="A53" s="142">
        <v>5</v>
      </c>
      <c r="B53" s="147">
        <f>IF(Cost!$B$3=1,$B23,$B37)</f>
        <v>18</v>
      </c>
      <c r="C53" s="147">
        <f>IF(Cost!$C$3=1,$B23,$B37)</f>
        <v>18</v>
      </c>
      <c r="D53" s="147">
        <f>IF(Cost!$D$3=1,$B23,$B37)</f>
        <v>18</v>
      </c>
      <c r="E53" s="147">
        <f>IF(Cost!$E$3=1,$B23,$B37)</f>
        <v>18</v>
      </c>
      <c r="F53" s="147">
        <f>IF(Cost!$F$3=1,$B23,$B37)</f>
        <v>18</v>
      </c>
      <c r="G53" s="147">
        <f>IF(Cost!$G$3=1,$B23,$B37)</f>
        <v>18</v>
      </c>
      <c r="H53" s="147">
        <f>IF(Cost!$H$3=1,$B23,$B37)</f>
        <v>18</v>
      </c>
      <c r="I53" s="147">
        <f>IF(Cost!$I$3=1,$B23,$B37)</f>
        <v>18</v>
      </c>
      <c r="J53" s="147">
        <f>IF(Cost!$J$3=1,$B23,$B37)</f>
        <v>18</v>
      </c>
      <c r="K53" s="147">
        <f>IF(Cost!$K$3=1,$B23,$B37)</f>
        <v>18</v>
      </c>
      <c r="L53" s="147">
        <f>IF(Cost!$L$3=1,$B23,$B37)</f>
        <v>18</v>
      </c>
      <c r="M53" s="147">
        <f>IF(Cost!$M$3=1,$B23,$B37)</f>
        <v>18</v>
      </c>
      <c r="N53" s="147">
        <f>IF(Cost!$N$3=1,$B23,$B37)</f>
        <v>18</v>
      </c>
      <c r="O53" s="147">
        <f>IF(Cost!$O$3=1,$B23,$B37)</f>
        <v>18</v>
      </c>
      <c r="P53" s="147">
        <f>IF(Cost!$P$3=1,$B23,$B37)</f>
        <v>18</v>
      </c>
      <c r="Q53" s="147">
        <f>IF(Cost!$Q$3=1,$B23,$B37)</f>
        <v>18</v>
      </c>
      <c r="R53" s="147">
        <f>IF(Cost!$R$3=1,$B23,$B37)</f>
        <v>18</v>
      </c>
      <c r="S53" s="147">
        <f>IF(Cost!$S$3=1,$B23,$B37)</f>
        <v>18</v>
      </c>
      <c r="T53" s="147">
        <f>IF(Cost!$T$3=1,$B23,$B37)</f>
        <v>18</v>
      </c>
      <c r="U53" s="147">
        <f>IF(Cost!U$3=1,$B23,$B37)</f>
        <v>18</v>
      </c>
      <c r="V53" s="147">
        <f>IF(Cost!V$3=1,$B23,$B37)</f>
        <v>18</v>
      </c>
      <c r="W53" s="147">
        <f>IF(Cost!W$3=1,$B23,$B37)</f>
        <v>18</v>
      </c>
      <c r="X53" s="147">
        <f>IF(Cost!X$3=1,$B23,$B37)</f>
        <v>18</v>
      </c>
      <c r="Y53" s="147">
        <f>IF(Cost!Y$3=1,$B23,$B37)</f>
        <v>18</v>
      </c>
      <c r="Z53" s="147">
        <f>IF(Cost!Z$3=1,$B23,$B37)</f>
        <v>18</v>
      </c>
      <c r="AA53" s="147">
        <f>IF(Cost!AA$3=1,$B23,$B37)</f>
        <v>18</v>
      </c>
      <c r="AB53" s="147">
        <f>IF(Cost!AB$3=1,$B23,$B37)</f>
        <v>18</v>
      </c>
      <c r="AC53" s="147">
        <f>IF(Cost!AC$3=1,$B23,$B37)</f>
        <v>18</v>
      </c>
      <c r="AD53" s="147">
        <f>IF(Cost!AD$3=1,$B23,$B37)</f>
        <v>18</v>
      </c>
      <c r="AE53" s="147">
        <f>IF(Cost!AE$3=1,$B23,$B37)</f>
        <v>18</v>
      </c>
      <c r="AF53" s="147">
        <f>IF(Cost!AF$3=1,$B23,$B37)</f>
        <v>18</v>
      </c>
      <c r="AG53" s="147">
        <f>IF(Cost!AG$3=1,$B23,$B37)</f>
        <v>18</v>
      </c>
      <c r="AH53" s="147">
        <f>IF(Cost!AH$3=1,$B23,$B37)</f>
        <v>18</v>
      </c>
      <c r="AI53" s="147">
        <f>IF(Cost!AI$3=1,$B23,$B37)</f>
        <v>18</v>
      </c>
      <c r="AJ53" s="147">
        <f>IF(Cost!AJ$3=1,$B23,$B37)</f>
        <v>18</v>
      </c>
      <c r="AK53" s="147">
        <f>IF(Cost!AK$3=1,$B23,$B37)</f>
        <v>18</v>
      </c>
      <c r="AL53" s="147">
        <f>IF(Cost!AL$3=1,$B23,$B37)</f>
        <v>18</v>
      </c>
      <c r="AM53" s="147">
        <f>IF(Cost!AM$3=1,$B23,$B37)</f>
        <v>18</v>
      </c>
      <c r="AN53" s="147">
        <f>IF(Cost!AN$3=1,$B23,$B37)</f>
        <v>18</v>
      </c>
      <c r="AO53" s="147">
        <f>IF(Cost!AO$3=1,$B23,$B37)</f>
        <v>18</v>
      </c>
      <c r="AP53" s="147">
        <f>IF(Cost!AP$3=1,$B23,$B37)</f>
        <v>18</v>
      </c>
      <c r="AQ53" s="147">
        <f>IF(Cost!AQ$3=1,$B23,$B37)</f>
        <v>18</v>
      </c>
      <c r="AR53" s="147">
        <f>IF(Cost!AR$3=1,$B23,$B37)</f>
        <v>18</v>
      </c>
      <c r="AS53" s="147">
        <f>IF(Cost!AS$3=1,$B23,$B37)</f>
        <v>18</v>
      </c>
      <c r="AT53" s="147">
        <f>IF(Cost!AT$3=1,$B23,$B37)</f>
        <v>18</v>
      </c>
      <c r="AU53" s="147">
        <f>IF(Cost!AU$3=1,$B23,$B37)</f>
        <v>18</v>
      </c>
      <c r="AV53" s="147">
        <f>IF(Cost!AV$3=1,$B23,$B37)</f>
        <v>18</v>
      </c>
      <c r="AW53" s="147">
        <f>IF(Cost!AW$3=1,$B23,$B37)</f>
        <v>18</v>
      </c>
      <c r="AX53" s="147">
        <f>IF(Cost!AX$3=1,$B23,$B37)</f>
        <v>18</v>
      </c>
      <c r="AY53" s="147">
        <f>IF(Cost!AY$3=1,$B23,$B37)</f>
        <v>18</v>
      </c>
      <c r="AZ53" s="147">
        <f>IF(Cost!AZ$3=1,$B23,$B37)</f>
        <v>18</v>
      </c>
      <c r="BA53" s="147">
        <f>IF(Cost!BA$3=1,$B23,$B37)</f>
        <v>18</v>
      </c>
      <c r="BB53" s="147">
        <f>IF(Cost!BB$3=1,$B23,$B37)</f>
        <v>18</v>
      </c>
      <c r="BC53" s="147">
        <f>IF(Cost!BC$3=1,$B23,$B37)</f>
        <v>18</v>
      </c>
      <c r="BD53" s="147">
        <f>IF(Cost!BD$3=1,$B23,$B37)</f>
        <v>18</v>
      </c>
      <c r="BE53" s="147">
        <f>IF(Cost!BE$3=1,$B23,$B37)</f>
        <v>18</v>
      </c>
      <c r="BF53" s="147">
        <f>IF(Cost!BF$3=1,$B23,$B37)</f>
        <v>18</v>
      </c>
      <c r="BG53" s="147">
        <f>IF(Cost!BG$3=1,$B23,$B37)</f>
        <v>18</v>
      </c>
      <c r="BH53" s="147">
        <f>IF(Cost!BH$3=1,$B23,$B37)</f>
        <v>18</v>
      </c>
      <c r="BI53" s="147">
        <f>IF(Cost!BI$3=1,$B23,$B37)</f>
        <v>18</v>
      </c>
      <c r="BJ53" s="147">
        <f>IF(Cost!BJ$3=1,$B23,$B37)</f>
        <v>18</v>
      </c>
      <c r="BK53" s="147">
        <f>IF(Cost!BK$3=1,$B23,$B37)</f>
        <v>18</v>
      </c>
      <c r="BL53" s="147">
        <f>IF(Cost!BL$3=1,$B23,$B37)</f>
        <v>18</v>
      </c>
      <c r="BM53" s="147">
        <f>IF(Cost!BM$3=1,$B23,$B37)</f>
        <v>18</v>
      </c>
      <c r="BN53" s="147">
        <f>IF(Cost!BN$3=1,$B23,$B37)</f>
        <v>18</v>
      </c>
      <c r="BO53" s="147">
        <f>IF(Cost!BO$3=1,$B23,$B37)</f>
        <v>18</v>
      </c>
      <c r="BP53" s="147">
        <f>IF(Cost!BP$3=1,$B23,$B37)</f>
        <v>18</v>
      </c>
      <c r="BQ53" s="147">
        <f>IF(Cost!BQ$3=1,$B23,$B37)</f>
        <v>18</v>
      </c>
      <c r="BR53" s="147">
        <f>IF(Cost!BR$3=1,$B23,$B37)</f>
        <v>18</v>
      </c>
      <c r="BS53" s="147">
        <f>IF(Cost!BS$3=1,$B23,$B37)</f>
        <v>18</v>
      </c>
      <c r="BT53" s="147">
        <f>IF(Cost!BT$3=1,$B23,$B37)</f>
        <v>18</v>
      </c>
      <c r="BU53" s="147">
        <f>IF(Cost!BU$3=1,$B23,$B37)</f>
        <v>18</v>
      </c>
      <c r="BV53" s="147">
        <f>IF(Cost!BV$3=1,$B23,$B37)</f>
        <v>18</v>
      </c>
      <c r="BW53" s="147">
        <f>IF(Cost!BW$3=1,$B23,$B37)</f>
        <v>18</v>
      </c>
      <c r="BX53" s="147">
        <f>IF(Cost!BX$3=1,$B23,$B37)</f>
        <v>18</v>
      </c>
      <c r="BY53" s="147">
        <f>IF(Cost!BY$3=1,$B23,$B37)</f>
        <v>18</v>
      </c>
      <c r="BZ53" s="147">
        <f>IF(Cost!BZ$3=1,$B23,$B37)</f>
        <v>18</v>
      </c>
      <c r="CA53" s="147">
        <f>IF(Cost!CA$3=1,$B23,$B37)</f>
        <v>18</v>
      </c>
      <c r="CB53" s="147">
        <f>IF(Cost!CB$3=1,$B23,$B37)</f>
        <v>18</v>
      </c>
      <c r="CC53" s="147">
        <f>IF(Cost!CC$3=1,$B23,$B37)</f>
        <v>18</v>
      </c>
      <c r="CD53" s="147">
        <f>IF(Cost!CD$3=1,$B23,$B37)</f>
        <v>18</v>
      </c>
      <c r="CE53" s="147">
        <f>IF(Cost!CE$3=1,$B23,$B37)</f>
        <v>18</v>
      </c>
      <c r="CF53" s="147">
        <f>IF(Cost!CF$3=1,$B23,$B37)</f>
        <v>18</v>
      </c>
      <c r="CG53" s="147">
        <f>IF(Cost!CG$3=1,$B23,$B37)</f>
        <v>18</v>
      </c>
      <c r="CH53" s="147">
        <f>IF(Cost!CH$3=1,$B23,$B37)</f>
        <v>18</v>
      </c>
      <c r="CI53" s="147">
        <f>IF(Cost!CI$3=1,$B23,$B37)</f>
        <v>18</v>
      </c>
      <c r="CJ53" s="147">
        <f>IF(Cost!CJ$3=1,$B23,$B37)</f>
        <v>18</v>
      </c>
      <c r="CK53" s="147">
        <f>IF(Cost!CK$3=1,$B23,$B37)</f>
        <v>18</v>
      </c>
      <c r="CL53" s="147">
        <f>IF(Cost!CL$3=1,$B23,$B37)</f>
        <v>18</v>
      </c>
      <c r="CM53" s="147">
        <f>IF(Cost!CM$3=1,$B23,$B37)</f>
        <v>18</v>
      </c>
      <c r="CN53" s="147">
        <f>IF(Cost!CN$3=1,$B23,$B37)</f>
        <v>18</v>
      </c>
      <c r="CO53" s="147">
        <f>IF(Cost!CO$3=1,$B23,$B37)</f>
        <v>18</v>
      </c>
      <c r="CP53" s="147">
        <f>IF(Cost!CP$3=1,$B23,$B37)</f>
        <v>18</v>
      </c>
      <c r="CQ53" s="147">
        <f>IF(Cost!CQ$3=1,$B23,$B37)</f>
        <v>18</v>
      </c>
      <c r="CR53" s="147">
        <f>IF(Cost!CR$3=1,$B23,$B37)</f>
        <v>18</v>
      </c>
      <c r="CS53" s="147">
        <f>IF(Cost!CS$3=1,$B23,$B37)</f>
        <v>18</v>
      </c>
      <c r="CT53" s="147">
        <f>IF(Cost!CT$3=1,$B23,$B37)</f>
        <v>18</v>
      </c>
      <c r="CU53" s="147">
        <f>IF(Cost!CU$3=1,$B23,$B37)</f>
        <v>18</v>
      </c>
      <c r="CV53" s="147">
        <f>IF(Cost!CV$3=1,$B23,$B37)</f>
        <v>18</v>
      </c>
      <c r="CW53" s="147">
        <f>IF(Cost!CW$3=1,$B23,$B37)</f>
        <v>18</v>
      </c>
      <c r="CX53" s="147">
        <f>IF(Cost!CX$3=1,$B23,$B37)</f>
        <v>24</v>
      </c>
      <c r="CY53" s="147">
        <f>IF(Cost!CY$3=1,$B23,$B37)</f>
        <v>24</v>
      </c>
      <c r="CZ53" s="147">
        <f>IF(Cost!CZ$3=1,$B23,$B37)</f>
        <v>24</v>
      </c>
    </row>
    <row r="54" spans="1:104" ht="12.75">
      <c r="A54" s="142">
        <v>6</v>
      </c>
      <c r="B54" s="147">
        <f>IF(Cost!$B$3=1,$B24,$B38)</f>
        <v>24</v>
      </c>
      <c r="C54" s="147">
        <f>IF(Cost!$C$3=1,$B24,$B38)</f>
        <v>24</v>
      </c>
      <c r="D54" s="147">
        <f>IF(Cost!$D$3=1,$B24,$B38)</f>
        <v>24</v>
      </c>
      <c r="E54" s="147">
        <f>IF(Cost!$E$3=1,$B24,$B38)</f>
        <v>24</v>
      </c>
      <c r="F54" s="147">
        <f>IF(Cost!$F$3=1,$B24,$B38)</f>
        <v>24</v>
      </c>
      <c r="G54" s="147">
        <f>IF(Cost!$G$3=1,$B24,$B38)</f>
        <v>24</v>
      </c>
      <c r="H54" s="147">
        <f>IF(Cost!$H$3=1,$B24,$B38)</f>
        <v>24</v>
      </c>
      <c r="I54" s="147">
        <f>IF(Cost!$I$3=1,$B24,$B38)</f>
        <v>24</v>
      </c>
      <c r="J54" s="147">
        <f>IF(Cost!$J$3=1,$B24,$B38)</f>
        <v>24</v>
      </c>
      <c r="K54" s="147">
        <f>IF(Cost!$K$3=1,$B24,$B38)</f>
        <v>24</v>
      </c>
      <c r="L54" s="147">
        <f>IF(Cost!$L$3=1,$B24,$B38)</f>
        <v>24</v>
      </c>
      <c r="M54" s="147">
        <f>IF(Cost!$M$3=1,$B24,$B38)</f>
        <v>24</v>
      </c>
      <c r="N54" s="147">
        <f>IF(Cost!$N$3=1,$B24,$B38)</f>
        <v>24</v>
      </c>
      <c r="O54" s="147">
        <f>IF(Cost!$O$3=1,$B24,$B38)</f>
        <v>24</v>
      </c>
      <c r="P54" s="147">
        <f>IF(Cost!$P$3=1,$B24,$B38)</f>
        <v>24</v>
      </c>
      <c r="Q54" s="147">
        <f>IF(Cost!$Q$3=1,$B24,$B38)</f>
        <v>24</v>
      </c>
      <c r="R54" s="147">
        <f>IF(Cost!$R$3=1,$B24,$B38)</f>
        <v>24</v>
      </c>
      <c r="S54" s="147">
        <f>IF(Cost!$S$3=1,$B24,$B38)</f>
        <v>24</v>
      </c>
      <c r="T54" s="147">
        <f>IF(Cost!$T$3=1,$B24,$B38)</f>
        <v>24</v>
      </c>
      <c r="U54" s="147">
        <f>IF(Cost!U$3=1,$B24,$B38)</f>
        <v>24</v>
      </c>
      <c r="V54" s="147">
        <f>IF(Cost!V$3=1,$B24,$B38)</f>
        <v>24</v>
      </c>
      <c r="W54" s="147">
        <f>IF(Cost!W$3=1,$B24,$B38)</f>
        <v>24</v>
      </c>
      <c r="X54" s="147">
        <f>IF(Cost!X$3=1,$B24,$B38)</f>
        <v>24</v>
      </c>
      <c r="Y54" s="147">
        <f>IF(Cost!Y$3=1,$B24,$B38)</f>
        <v>24</v>
      </c>
      <c r="Z54" s="147">
        <f>IF(Cost!Z$3=1,$B24,$B38)</f>
        <v>24</v>
      </c>
      <c r="AA54" s="147">
        <f>IF(Cost!AA$3=1,$B24,$B38)</f>
        <v>24</v>
      </c>
      <c r="AB54" s="147">
        <f>IF(Cost!AB$3=1,$B24,$B38)</f>
        <v>24</v>
      </c>
      <c r="AC54" s="147">
        <f>IF(Cost!AC$3=1,$B24,$B38)</f>
        <v>24</v>
      </c>
      <c r="AD54" s="147">
        <f>IF(Cost!AD$3=1,$B24,$B38)</f>
        <v>24</v>
      </c>
      <c r="AE54" s="147">
        <f>IF(Cost!AE$3=1,$B24,$B38)</f>
        <v>24</v>
      </c>
      <c r="AF54" s="147">
        <f>IF(Cost!AF$3=1,$B24,$B38)</f>
        <v>24</v>
      </c>
      <c r="AG54" s="147">
        <f>IF(Cost!AG$3=1,$B24,$B38)</f>
        <v>24</v>
      </c>
      <c r="AH54" s="147">
        <f>IF(Cost!AH$3=1,$B24,$B38)</f>
        <v>24</v>
      </c>
      <c r="AI54" s="147">
        <f>IF(Cost!AI$3=1,$B24,$B38)</f>
        <v>24</v>
      </c>
      <c r="AJ54" s="147">
        <f>IF(Cost!AJ$3=1,$B24,$B38)</f>
        <v>24</v>
      </c>
      <c r="AK54" s="147">
        <f>IF(Cost!AK$3=1,$B24,$B38)</f>
        <v>24</v>
      </c>
      <c r="AL54" s="147">
        <f>IF(Cost!AL$3=1,$B24,$B38)</f>
        <v>24</v>
      </c>
      <c r="AM54" s="147">
        <f>IF(Cost!AM$3=1,$B24,$B38)</f>
        <v>24</v>
      </c>
      <c r="AN54" s="147">
        <f>IF(Cost!AN$3=1,$B24,$B38)</f>
        <v>24</v>
      </c>
      <c r="AO54" s="147">
        <f>IF(Cost!AO$3=1,$B24,$B38)</f>
        <v>24</v>
      </c>
      <c r="AP54" s="147">
        <f>IF(Cost!AP$3=1,$B24,$B38)</f>
        <v>24</v>
      </c>
      <c r="AQ54" s="147">
        <f>IF(Cost!AQ$3=1,$B24,$B38)</f>
        <v>24</v>
      </c>
      <c r="AR54" s="147">
        <f>IF(Cost!AR$3=1,$B24,$B38)</f>
        <v>24</v>
      </c>
      <c r="AS54" s="147">
        <f>IF(Cost!AS$3=1,$B24,$B38)</f>
        <v>24</v>
      </c>
      <c r="AT54" s="147">
        <f>IF(Cost!AT$3=1,$B24,$B38)</f>
        <v>24</v>
      </c>
      <c r="AU54" s="147">
        <f>IF(Cost!AU$3=1,$B24,$B38)</f>
        <v>24</v>
      </c>
      <c r="AV54" s="147">
        <f>IF(Cost!AV$3=1,$B24,$B38)</f>
        <v>24</v>
      </c>
      <c r="AW54" s="147">
        <f>IF(Cost!AW$3=1,$B24,$B38)</f>
        <v>24</v>
      </c>
      <c r="AX54" s="147">
        <f>IF(Cost!AX$3=1,$B24,$B38)</f>
        <v>24</v>
      </c>
      <c r="AY54" s="147">
        <f>IF(Cost!AY$3=1,$B24,$B38)</f>
        <v>24</v>
      </c>
      <c r="AZ54" s="147">
        <f>IF(Cost!AZ$3=1,$B24,$B38)</f>
        <v>24</v>
      </c>
      <c r="BA54" s="147">
        <f>IF(Cost!BA$3=1,$B24,$B38)</f>
        <v>24</v>
      </c>
      <c r="BB54" s="147">
        <f>IF(Cost!BB$3=1,$B24,$B38)</f>
        <v>24</v>
      </c>
      <c r="BC54" s="147">
        <f>IF(Cost!BC$3=1,$B24,$B38)</f>
        <v>24</v>
      </c>
      <c r="BD54" s="147">
        <f>IF(Cost!BD$3=1,$B24,$B38)</f>
        <v>24</v>
      </c>
      <c r="BE54" s="147">
        <f>IF(Cost!BE$3=1,$B24,$B38)</f>
        <v>24</v>
      </c>
      <c r="BF54" s="147">
        <f>IF(Cost!BF$3=1,$B24,$B38)</f>
        <v>24</v>
      </c>
      <c r="BG54" s="147">
        <f>IF(Cost!BG$3=1,$B24,$B38)</f>
        <v>24</v>
      </c>
      <c r="BH54" s="147">
        <f>IF(Cost!BH$3=1,$B24,$B38)</f>
        <v>24</v>
      </c>
      <c r="BI54" s="147">
        <f>IF(Cost!BI$3=1,$B24,$B38)</f>
        <v>24</v>
      </c>
      <c r="BJ54" s="147">
        <f>IF(Cost!BJ$3=1,$B24,$B38)</f>
        <v>24</v>
      </c>
      <c r="BK54" s="147">
        <f>IF(Cost!BK$3=1,$B24,$B38)</f>
        <v>24</v>
      </c>
      <c r="BL54" s="147">
        <f>IF(Cost!BL$3=1,$B24,$B38)</f>
        <v>24</v>
      </c>
      <c r="BM54" s="147">
        <f>IF(Cost!BM$3=1,$B24,$B38)</f>
        <v>24</v>
      </c>
      <c r="BN54" s="147">
        <f>IF(Cost!BN$3=1,$B24,$B38)</f>
        <v>24</v>
      </c>
      <c r="BO54" s="147">
        <f>IF(Cost!BO$3=1,$B24,$B38)</f>
        <v>24</v>
      </c>
      <c r="BP54" s="147">
        <f>IF(Cost!BP$3=1,$B24,$B38)</f>
        <v>24</v>
      </c>
      <c r="BQ54" s="147">
        <f>IF(Cost!BQ$3=1,$B24,$B38)</f>
        <v>24</v>
      </c>
      <c r="BR54" s="147">
        <f>IF(Cost!BR$3=1,$B24,$B38)</f>
        <v>24</v>
      </c>
      <c r="BS54" s="147">
        <f>IF(Cost!BS$3=1,$B24,$B38)</f>
        <v>24</v>
      </c>
      <c r="BT54" s="147">
        <f>IF(Cost!BT$3=1,$B24,$B38)</f>
        <v>24</v>
      </c>
      <c r="BU54" s="147">
        <f>IF(Cost!BU$3=1,$B24,$B38)</f>
        <v>24</v>
      </c>
      <c r="BV54" s="147">
        <f>IF(Cost!BV$3=1,$B24,$B38)</f>
        <v>24</v>
      </c>
      <c r="BW54" s="147">
        <f>IF(Cost!BW$3=1,$B24,$B38)</f>
        <v>24</v>
      </c>
      <c r="BX54" s="147">
        <f>IF(Cost!BX$3=1,$B24,$B38)</f>
        <v>24</v>
      </c>
      <c r="BY54" s="147">
        <f>IF(Cost!BY$3=1,$B24,$B38)</f>
        <v>24</v>
      </c>
      <c r="BZ54" s="147">
        <f>IF(Cost!BZ$3=1,$B24,$B38)</f>
        <v>24</v>
      </c>
      <c r="CA54" s="147">
        <f>IF(Cost!CA$3=1,$B24,$B38)</f>
        <v>24</v>
      </c>
      <c r="CB54" s="147">
        <f>IF(Cost!CB$3=1,$B24,$B38)</f>
        <v>24</v>
      </c>
      <c r="CC54" s="147">
        <f>IF(Cost!CC$3=1,$B24,$B38)</f>
        <v>24</v>
      </c>
      <c r="CD54" s="147">
        <f>IF(Cost!CD$3=1,$B24,$B38)</f>
        <v>24</v>
      </c>
      <c r="CE54" s="147">
        <f>IF(Cost!CE$3=1,$B24,$B38)</f>
        <v>24</v>
      </c>
      <c r="CF54" s="147">
        <f>IF(Cost!CF$3=1,$B24,$B38)</f>
        <v>24</v>
      </c>
      <c r="CG54" s="147">
        <f>IF(Cost!CG$3=1,$B24,$B38)</f>
        <v>24</v>
      </c>
      <c r="CH54" s="147">
        <f>IF(Cost!CH$3=1,$B24,$B38)</f>
        <v>24</v>
      </c>
      <c r="CI54" s="147">
        <f>IF(Cost!CI$3=1,$B24,$B38)</f>
        <v>24</v>
      </c>
      <c r="CJ54" s="147">
        <f>IF(Cost!CJ$3=1,$B24,$B38)</f>
        <v>24</v>
      </c>
      <c r="CK54" s="147">
        <f>IF(Cost!CK$3=1,$B24,$B38)</f>
        <v>24</v>
      </c>
      <c r="CL54" s="147">
        <f>IF(Cost!CL$3=1,$B24,$B38)</f>
        <v>24</v>
      </c>
      <c r="CM54" s="147">
        <f>IF(Cost!CM$3=1,$B24,$B38)</f>
        <v>24</v>
      </c>
      <c r="CN54" s="147">
        <f>IF(Cost!CN$3=1,$B24,$B38)</f>
        <v>24</v>
      </c>
      <c r="CO54" s="147">
        <f>IF(Cost!CO$3=1,$B24,$B38)</f>
        <v>24</v>
      </c>
      <c r="CP54" s="147">
        <f>IF(Cost!CP$3=1,$B24,$B38)</f>
        <v>24</v>
      </c>
      <c r="CQ54" s="147">
        <f>IF(Cost!CQ$3=1,$B24,$B38)</f>
        <v>24</v>
      </c>
      <c r="CR54" s="147">
        <f>IF(Cost!CR$3=1,$B24,$B38)</f>
        <v>24</v>
      </c>
      <c r="CS54" s="147">
        <f>IF(Cost!CS$3=1,$B24,$B38)</f>
        <v>24</v>
      </c>
      <c r="CT54" s="147">
        <f>IF(Cost!CT$3=1,$B24,$B38)</f>
        <v>24</v>
      </c>
      <c r="CU54" s="147">
        <f>IF(Cost!CU$3=1,$B24,$B38)</f>
        <v>24</v>
      </c>
      <c r="CV54" s="147">
        <f>IF(Cost!CV$3=1,$B24,$B38)</f>
        <v>24</v>
      </c>
      <c r="CW54" s="147">
        <f>IF(Cost!CW$3=1,$B24,$B38)</f>
        <v>24</v>
      </c>
      <c r="CX54" s="147">
        <f>IF(Cost!CX$3=1,$B24,$B38)</f>
        <v>27</v>
      </c>
      <c r="CY54" s="147">
        <f>IF(Cost!CY$3=1,$B24,$B38)</f>
        <v>27</v>
      </c>
      <c r="CZ54" s="147">
        <f>IF(Cost!CZ$3=1,$B24,$B38)</f>
        <v>27</v>
      </c>
    </row>
    <row r="55" spans="1:104" ht="12.75">
      <c r="A55" s="142">
        <v>7</v>
      </c>
      <c r="B55" s="147">
        <f>IF(Cost!$B$3=1,$B25,$B39)</f>
        <v>30</v>
      </c>
      <c r="C55" s="147">
        <f>IF(Cost!$C$3=1,$B25,$B39)</f>
        <v>30</v>
      </c>
      <c r="D55" s="147">
        <f>IF(Cost!$D$3=1,$B25,$B39)</f>
        <v>30</v>
      </c>
      <c r="E55" s="147">
        <f>IF(Cost!$E$3=1,$B25,$B39)</f>
        <v>30</v>
      </c>
      <c r="F55" s="147">
        <f>IF(Cost!$F$3=1,$B25,$B39)</f>
        <v>30</v>
      </c>
      <c r="G55" s="147">
        <f>IF(Cost!$G$3=1,$B25,$B39)</f>
        <v>30</v>
      </c>
      <c r="H55" s="147">
        <f>IF(Cost!$H$3=1,$B25,$B39)</f>
        <v>30</v>
      </c>
      <c r="I55" s="147">
        <f>IF(Cost!$I$3=1,$B25,$B39)</f>
        <v>30</v>
      </c>
      <c r="J55" s="147">
        <f>IF(Cost!$J$3=1,$B25,$B39)</f>
        <v>30</v>
      </c>
      <c r="K55" s="147">
        <f>IF(Cost!$K$3=1,$B25,$B39)</f>
        <v>30</v>
      </c>
      <c r="L55" s="147">
        <f>IF(Cost!$L$3=1,$B25,$B39)</f>
        <v>30</v>
      </c>
      <c r="M55" s="147">
        <f>IF(Cost!$M$3=1,$B25,$B39)</f>
        <v>30</v>
      </c>
      <c r="N55" s="147">
        <f>IF(Cost!$N$3=1,$B25,$B39)</f>
        <v>30</v>
      </c>
      <c r="O55" s="147">
        <f>IF(Cost!$O$3=1,$B25,$B39)</f>
        <v>30</v>
      </c>
      <c r="P55" s="147">
        <f>IF(Cost!$P$3=1,$B25,$B39)</f>
        <v>30</v>
      </c>
      <c r="Q55" s="147">
        <f>IF(Cost!$Q$3=1,$B25,$B39)</f>
        <v>30</v>
      </c>
      <c r="R55" s="147">
        <f>IF(Cost!$R$3=1,$B25,$B39)</f>
        <v>30</v>
      </c>
      <c r="S55" s="147">
        <f>IF(Cost!$S$3=1,$B25,$B39)</f>
        <v>30</v>
      </c>
      <c r="T55" s="147">
        <f>IF(Cost!$T$3=1,$B25,$B39)</f>
        <v>30</v>
      </c>
      <c r="U55" s="147">
        <f>IF(Cost!U$3=1,$B25,$B39)</f>
        <v>30</v>
      </c>
      <c r="V55" s="147">
        <f>IF(Cost!V$3=1,$B25,$B39)</f>
        <v>30</v>
      </c>
      <c r="W55" s="147">
        <f>IF(Cost!W$3=1,$B25,$B39)</f>
        <v>30</v>
      </c>
      <c r="X55" s="147">
        <f>IF(Cost!X$3=1,$B25,$B39)</f>
        <v>30</v>
      </c>
      <c r="Y55" s="147">
        <f>IF(Cost!Y$3=1,$B25,$B39)</f>
        <v>30</v>
      </c>
      <c r="Z55" s="147">
        <f>IF(Cost!Z$3=1,$B25,$B39)</f>
        <v>30</v>
      </c>
      <c r="AA55" s="147">
        <f>IF(Cost!AA$3=1,$B25,$B39)</f>
        <v>30</v>
      </c>
      <c r="AB55" s="147">
        <f>IF(Cost!AB$3=1,$B25,$B39)</f>
        <v>30</v>
      </c>
      <c r="AC55" s="147">
        <f>IF(Cost!AC$3=1,$B25,$B39)</f>
        <v>30</v>
      </c>
      <c r="AD55" s="147">
        <f>IF(Cost!AD$3=1,$B25,$B39)</f>
        <v>30</v>
      </c>
      <c r="AE55" s="147">
        <f>IF(Cost!AE$3=1,$B25,$B39)</f>
        <v>30</v>
      </c>
      <c r="AF55" s="147">
        <f>IF(Cost!AF$3=1,$B25,$B39)</f>
        <v>30</v>
      </c>
      <c r="AG55" s="147">
        <f>IF(Cost!AG$3=1,$B25,$B39)</f>
        <v>30</v>
      </c>
      <c r="AH55" s="147">
        <f>IF(Cost!AH$3=1,$B25,$B39)</f>
        <v>30</v>
      </c>
      <c r="AI55" s="147">
        <f>IF(Cost!AI$3=1,$B25,$B39)</f>
        <v>30</v>
      </c>
      <c r="AJ55" s="147">
        <f>IF(Cost!AJ$3=1,$B25,$B39)</f>
        <v>30</v>
      </c>
      <c r="AK55" s="147">
        <f>IF(Cost!AK$3=1,$B25,$B39)</f>
        <v>30</v>
      </c>
      <c r="AL55" s="147">
        <f>IF(Cost!AL$3=1,$B25,$B39)</f>
        <v>30</v>
      </c>
      <c r="AM55" s="147">
        <f>IF(Cost!AM$3=1,$B25,$B39)</f>
        <v>30</v>
      </c>
      <c r="AN55" s="147">
        <f>IF(Cost!AN$3=1,$B25,$B39)</f>
        <v>30</v>
      </c>
      <c r="AO55" s="147">
        <f>IF(Cost!AO$3=1,$B25,$B39)</f>
        <v>30</v>
      </c>
      <c r="AP55" s="147">
        <f>IF(Cost!AP$3=1,$B25,$B39)</f>
        <v>30</v>
      </c>
      <c r="AQ55" s="147">
        <f>IF(Cost!AQ$3=1,$B25,$B39)</f>
        <v>30</v>
      </c>
      <c r="AR55" s="147">
        <f>IF(Cost!AR$3=1,$B25,$B39)</f>
        <v>30</v>
      </c>
      <c r="AS55" s="147">
        <f>IF(Cost!AS$3=1,$B25,$B39)</f>
        <v>30</v>
      </c>
      <c r="AT55" s="147">
        <f>IF(Cost!AT$3=1,$B25,$B39)</f>
        <v>30</v>
      </c>
      <c r="AU55" s="147">
        <f>IF(Cost!AU$3=1,$B25,$B39)</f>
        <v>30</v>
      </c>
      <c r="AV55" s="147">
        <f>IF(Cost!AV$3=1,$B25,$B39)</f>
        <v>30</v>
      </c>
      <c r="AW55" s="147">
        <f>IF(Cost!AW$3=1,$B25,$B39)</f>
        <v>30</v>
      </c>
      <c r="AX55" s="147">
        <f>IF(Cost!AX$3=1,$B25,$B39)</f>
        <v>30</v>
      </c>
      <c r="AY55" s="147">
        <f>IF(Cost!AY$3=1,$B25,$B39)</f>
        <v>30</v>
      </c>
      <c r="AZ55" s="147">
        <f>IF(Cost!AZ$3=1,$B25,$B39)</f>
        <v>30</v>
      </c>
      <c r="BA55" s="147">
        <f>IF(Cost!BA$3=1,$B25,$B39)</f>
        <v>30</v>
      </c>
      <c r="BB55" s="147">
        <f>IF(Cost!BB$3=1,$B25,$B39)</f>
        <v>30</v>
      </c>
      <c r="BC55" s="147">
        <f>IF(Cost!BC$3=1,$B25,$B39)</f>
        <v>30</v>
      </c>
      <c r="BD55" s="147">
        <f>IF(Cost!BD$3=1,$B25,$B39)</f>
        <v>30</v>
      </c>
      <c r="BE55" s="147">
        <f>IF(Cost!BE$3=1,$B25,$B39)</f>
        <v>30</v>
      </c>
      <c r="BF55" s="147">
        <f>IF(Cost!BF$3=1,$B25,$B39)</f>
        <v>30</v>
      </c>
      <c r="BG55" s="147">
        <f>IF(Cost!BG$3=1,$B25,$B39)</f>
        <v>30</v>
      </c>
      <c r="BH55" s="147">
        <f>IF(Cost!BH$3=1,$B25,$B39)</f>
        <v>30</v>
      </c>
      <c r="BI55" s="147">
        <f>IF(Cost!BI$3=1,$B25,$B39)</f>
        <v>30</v>
      </c>
      <c r="BJ55" s="147">
        <f>IF(Cost!BJ$3=1,$B25,$B39)</f>
        <v>30</v>
      </c>
      <c r="BK55" s="147">
        <f>IF(Cost!BK$3=1,$B25,$B39)</f>
        <v>30</v>
      </c>
      <c r="BL55" s="147">
        <f>IF(Cost!BL$3=1,$B25,$B39)</f>
        <v>30</v>
      </c>
      <c r="BM55" s="147">
        <f>IF(Cost!BM$3=1,$B25,$B39)</f>
        <v>30</v>
      </c>
      <c r="BN55" s="147">
        <f>IF(Cost!BN$3=1,$B25,$B39)</f>
        <v>30</v>
      </c>
      <c r="BO55" s="147">
        <f>IF(Cost!BO$3=1,$B25,$B39)</f>
        <v>30</v>
      </c>
      <c r="BP55" s="147">
        <f>IF(Cost!BP$3=1,$B25,$B39)</f>
        <v>30</v>
      </c>
      <c r="BQ55" s="147">
        <f>IF(Cost!BQ$3=1,$B25,$B39)</f>
        <v>30</v>
      </c>
      <c r="BR55" s="147">
        <f>IF(Cost!BR$3=1,$B25,$B39)</f>
        <v>30</v>
      </c>
      <c r="BS55" s="147">
        <f>IF(Cost!BS$3=1,$B25,$B39)</f>
        <v>30</v>
      </c>
      <c r="BT55" s="147">
        <f>IF(Cost!BT$3=1,$B25,$B39)</f>
        <v>30</v>
      </c>
      <c r="BU55" s="147">
        <f>IF(Cost!BU$3=1,$B25,$B39)</f>
        <v>30</v>
      </c>
      <c r="BV55" s="147">
        <f>IF(Cost!BV$3=1,$B25,$B39)</f>
        <v>30</v>
      </c>
      <c r="BW55" s="147">
        <f>IF(Cost!BW$3=1,$B25,$B39)</f>
        <v>30</v>
      </c>
      <c r="BX55" s="147">
        <f>IF(Cost!BX$3=1,$B25,$B39)</f>
        <v>30</v>
      </c>
      <c r="BY55" s="147">
        <f>IF(Cost!BY$3=1,$B25,$B39)</f>
        <v>30</v>
      </c>
      <c r="BZ55" s="147">
        <f>IF(Cost!BZ$3=1,$B25,$B39)</f>
        <v>30</v>
      </c>
      <c r="CA55" s="147">
        <f>IF(Cost!CA$3=1,$B25,$B39)</f>
        <v>30</v>
      </c>
      <c r="CB55" s="147">
        <f>IF(Cost!CB$3=1,$B25,$B39)</f>
        <v>30</v>
      </c>
      <c r="CC55" s="147">
        <f>IF(Cost!CC$3=1,$B25,$B39)</f>
        <v>30</v>
      </c>
      <c r="CD55" s="147">
        <f>IF(Cost!CD$3=1,$B25,$B39)</f>
        <v>30</v>
      </c>
      <c r="CE55" s="147">
        <f>IF(Cost!CE$3=1,$B25,$B39)</f>
        <v>30</v>
      </c>
      <c r="CF55" s="147">
        <f>IF(Cost!CF$3=1,$B25,$B39)</f>
        <v>30</v>
      </c>
      <c r="CG55" s="147">
        <f>IF(Cost!CG$3=1,$B25,$B39)</f>
        <v>30</v>
      </c>
      <c r="CH55" s="147">
        <f>IF(Cost!CH$3=1,$B25,$B39)</f>
        <v>30</v>
      </c>
      <c r="CI55" s="147">
        <f>IF(Cost!CI$3=1,$B25,$B39)</f>
        <v>30</v>
      </c>
      <c r="CJ55" s="147">
        <f>IF(Cost!CJ$3=1,$B25,$B39)</f>
        <v>30</v>
      </c>
      <c r="CK55" s="147">
        <f>IF(Cost!CK$3=1,$B25,$B39)</f>
        <v>30</v>
      </c>
      <c r="CL55" s="147">
        <f>IF(Cost!CL$3=1,$B25,$B39)</f>
        <v>30</v>
      </c>
      <c r="CM55" s="147">
        <f>IF(Cost!CM$3=1,$B25,$B39)</f>
        <v>30</v>
      </c>
      <c r="CN55" s="147">
        <f>IF(Cost!CN$3=1,$B25,$B39)</f>
        <v>30</v>
      </c>
      <c r="CO55" s="147">
        <f>IF(Cost!CO$3=1,$B25,$B39)</f>
        <v>30</v>
      </c>
      <c r="CP55" s="147">
        <f>IF(Cost!CP$3=1,$B25,$B39)</f>
        <v>30</v>
      </c>
      <c r="CQ55" s="147">
        <f>IF(Cost!CQ$3=1,$B25,$B39)</f>
        <v>30</v>
      </c>
      <c r="CR55" s="147">
        <f>IF(Cost!CR$3=1,$B25,$B39)</f>
        <v>30</v>
      </c>
      <c r="CS55" s="147">
        <f>IF(Cost!CS$3=1,$B25,$B39)</f>
        <v>30</v>
      </c>
      <c r="CT55" s="147">
        <f>IF(Cost!CT$3=1,$B25,$B39)</f>
        <v>30</v>
      </c>
      <c r="CU55" s="147">
        <f>IF(Cost!CU$3=1,$B25,$B39)</f>
        <v>30</v>
      </c>
      <c r="CV55" s="147">
        <f>IF(Cost!CV$3=1,$B25,$B39)</f>
        <v>30</v>
      </c>
      <c r="CW55" s="147">
        <f>IF(Cost!CW$3=1,$B25,$B39)</f>
        <v>30</v>
      </c>
      <c r="CX55" s="147">
        <f>IF(Cost!CX$3=1,$B25,$B39)</f>
        <v>30</v>
      </c>
      <c r="CY55" s="147">
        <f>IF(Cost!CY$3=1,$B25,$B39)</f>
        <v>30</v>
      </c>
      <c r="CZ55" s="147">
        <f>IF(Cost!CZ$3=1,$B25,$B39)</f>
        <v>30</v>
      </c>
    </row>
    <row r="56" spans="1:104" ht="12.75">
      <c r="A56" s="142">
        <v>8</v>
      </c>
      <c r="B56" s="147">
        <f>IF(Cost!$B$3=1,$B26,$B40)</f>
        <v>36</v>
      </c>
      <c r="C56" s="147">
        <f>IF(Cost!$C$3=1,$B26,$B40)</f>
        <v>36</v>
      </c>
      <c r="D56" s="147">
        <f>IF(Cost!$D$3=1,$B26,$B40)</f>
        <v>36</v>
      </c>
      <c r="E56" s="147">
        <f>IF(Cost!$E$3=1,$B26,$B40)</f>
        <v>36</v>
      </c>
      <c r="F56" s="147">
        <f>IF(Cost!$F$3=1,$B26,$B40)</f>
        <v>36</v>
      </c>
      <c r="G56" s="147">
        <f>IF(Cost!$G$3=1,$B26,$B40)</f>
        <v>36</v>
      </c>
      <c r="H56" s="147">
        <f>IF(Cost!$H$3=1,$B26,$B40)</f>
        <v>36</v>
      </c>
      <c r="I56" s="147">
        <f>IF(Cost!$I$3=1,$B26,$B40)</f>
        <v>36</v>
      </c>
      <c r="J56" s="147">
        <f>IF(Cost!$J$3=1,$B26,$B40)</f>
        <v>36</v>
      </c>
      <c r="K56" s="147">
        <f>IF(Cost!$K$3=1,$B26,$B40)</f>
        <v>36</v>
      </c>
      <c r="L56" s="147">
        <f>IF(Cost!$L$3=1,$B26,$B40)</f>
        <v>36</v>
      </c>
      <c r="M56" s="147">
        <f>IF(Cost!$M$3=1,$B26,$B40)</f>
        <v>36</v>
      </c>
      <c r="N56" s="147">
        <f>IF(Cost!$N$3=1,$B26,$B40)</f>
        <v>36</v>
      </c>
      <c r="O56" s="147">
        <f>IF(Cost!$O$3=1,$B26,$B40)</f>
        <v>36</v>
      </c>
      <c r="P56" s="147">
        <f>IF(Cost!$P$3=1,$B26,$B40)</f>
        <v>36</v>
      </c>
      <c r="Q56" s="147">
        <f>IF(Cost!$Q$3=1,$B26,$B40)</f>
        <v>36</v>
      </c>
      <c r="R56" s="147">
        <f>IF(Cost!$R$3=1,$B26,$B40)</f>
        <v>36</v>
      </c>
      <c r="S56" s="147">
        <f>IF(Cost!$S$3=1,$B26,$B40)</f>
        <v>36</v>
      </c>
      <c r="T56" s="147">
        <f>IF(Cost!$T$3=1,$B26,$B40)</f>
        <v>36</v>
      </c>
      <c r="U56" s="147">
        <f>IF(Cost!U$3=1,$B26,$B40)</f>
        <v>36</v>
      </c>
      <c r="V56" s="147">
        <f>IF(Cost!V$3=1,$B26,$B40)</f>
        <v>36</v>
      </c>
      <c r="W56" s="147">
        <f>IF(Cost!W$3=1,$B26,$B40)</f>
        <v>36</v>
      </c>
      <c r="X56" s="147">
        <f>IF(Cost!X$3=1,$B26,$B40)</f>
        <v>36</v>
      </c>
      <c r="Y56" s="147">
        <f>IF(Cost!Y$3=1,$B26,$B40)</f>
        <v>36</v>
      </c>
      <c r="Z56" s="147">
        <f>IF(Cost!Z$3=1,$B26,$B40)</f>
        <v>36</v>
      </c>
      <c r="AA56" s="147">
        <f>IF(Cost!AA$3=1,$B26,$B40)</f>
        <v>36</v>
      </c>
      <c r="AB56" s="147">
        <f>IF(Cost!AB$3=1,$B26,$B40)</f>
        <v>36</v>
      </c>
      <c r="AC56" s="147">
        <f>IF(Cost!AC$3=1,$B26,$B40)</f>
        <v>36</v>
      </c>
      <c r="AD56" s="147">
        <f>IF(Cost!AD$3=1,$B26,$B40)</f>
        <v>36</v>
      </c>
      <c r="AE56" s="147">
        <f>IF(Cost!AE$3=1,$B26,$B40)</f>
        <v>36</v>
      </c>
      <c r="AF56" s="147">
        <f>IF(Cost!AF$3=1,$B26,$B40)</f>
        <v>36</v>
      </c>
      <c r="AG56" s="147">
        <f>IF(Cost!AG$3=1,$B26,$B40)</f>
        <v>36</v>
      </c>
      <c r="AH56" s="147">
        <f>IF(Cost!AH$3=1,$B26,$B40)</f>
        <v>36</v>
      </c>
      <c r="AI56" s="147">
        <f>IF(Cost!AI$3=1,$B26,$B40)</f>
        <v>36</v>
      </c>
      <c r="AJ56" s="147">
        <f>IF(Cost!AJ$3=1,$B26,$B40)</f>
        <v>36</v>
      </c>
      <c r="AK56" s="147">
        <f>IF(Cost!AK$3=1,$B26,$B40)</f>
        <v>36</v>
      </c>
      <c r="AL56" s="147">
        <f>IF(Cost!AL$3=1,$B26,$B40)</f>
        <v>36</v>
      </c>
      <c r="AM56" s="147">
        <f>IF(Cost!AM$3=1,$B26,$B40)</f>
        <v>36</v>
      </c>
      <c r="AN56" s="147">
        <f>IF(Cost!AN$3=1,$B26,$B40)</f>
        <v>36</v>
      </c>
      <c r="AO56" s="147">
        <f>IF(Cost!AO$3=1,$B26,$B40)</f>
        <v>36</v>
      </c>
      <c r="AP56" s="147">
        <f>IF(Cost!AP$3=1,$B26,$B40)</f>
        <v>36</v>
      </c>
      <c r="AQ56" s="147">
        <f>IF(Cost!AQ$3=1,$B26,$B40)</f>
        <v>36</v>
      </c>
      <c r="AR56" s="147">
        <f>IF(Cost!AR$3=1,$B26,$B40)</f>
        <v>36</v>
      </c>
      <c r="AS56" s="147">
        <f>IF(Cost!AS$3=1,$B26,$B40)</f>
        <v>36</v>
      </c>
      <c r="AT56" s="147">
        <f>IF(Cost!AT$3=1,$B26,$B40)</f>
        <v>36</v>
      </c>
      <c r="AU56" s="147">
        <f>IF(Cost!AU$3=1,$B26,$B40)</f>
        <v>36</v>
      </c>
      <c r="AV56" s="147">
        <f>IF(Cost!AV$3=1,$B26,$B40)</f>
        <v>36</v>
      </c>
      <c r="AW56" s="147">
        <f>IF(Cost!AW$3=1,$B26,$B40)</f>
        <v>36</v>
      </c>
      <c r="AX56" s="147">
        <f>IF(Cost!AX$3=1,$B26,$B40)</f>
        <v>36</v>
      </c>
      <c r="AY56" s="147">
        <f>IF(Cost!AY$3=1,$B26,$B40)</f>
        <v>36</v>
      </c>
      <c r="AZ56" s="147">
        <f>IF(Cost!AZ$3=1,$B26,$B40)</f>
        <v>36</v>
      </c>
      <c r="BA56" s="147">
        <f>IF(Cost!BA$3=1,$B26,$B40)</f>
        <v>36</v>
      </c>
      <c r="BB56" s="147">
        <f>IF(Cost!BB$3=1,$B26,$B40)</f>
        <v>36</v>
      </c>
      <c r="BC56" s="147">
        <f>IF(Cost!BC$3=1,$B26,$B40)</f>
        <v>36</v>
      </c>
      <c r="BD56" s="147">
        <f>IF(Cost!BD$3=1,$B26,$B40)</f>
        <v>36</v>
      </c>
      <c r="BE56" s="147">
        <f>IF(Cost!BE$3=1,$B26,$B40)</f>
        <v>36</v>
      </c>
      <c r="BF56" s="147">
        <f>IF(Cost!BF$3=1,$B26,$B40)</f>
        <v>36</v>
      </c>
      <c r="BG56" s="147">
        <f>IF(Cost!BG$3=1,$B26,$B40)</f>
        <v>36</v>
      </c>
      <c r="BH56" s="147">
        <f>IF(Cost!BH$3=1,$B26,$B40)</f>
        <v>36</v>
      </c>
      <c r="BI56" s="147">
        <f>IF(Cost!BI$3=1,$B26,$B40)</f>
        <v>36</v>
      </c>
      <c r="BJ56" s="147">
        <f>IF(Cost!BJ$3=1,$B26,$B40)</f>
        <v>36</v>
      </c>
      <c r="BK56" s="147">
        <f>IF(Cost!BK$3=1,$B26,$B40)</f>
        <v>36</v>
      </c>
      <c r="BL56" s="147">
        <f>IF(Cost!BL$3=1,$B26,$B40)</f>
        <v>36</v>
      </c>
      <c r="BM56" s="147">
        <f>IF(Cost!BM$3=1,$B26,$B40)</f>
        <v>36</v>
      </c>
      <c r="BN56" s="147">
        <f>IF(Cost!BN$3=1,$B26,$B40)</f>
        <v>36</v>
      </c>
      <c r="BO56" s="147">
        <f>IF(Cost!BO$3=1,$B26,$B40)</f>
        <v>36</v>
      </c>
      <c r="BP56" s="147">
        <f>IF(Cost!BP$3=1,$B26,$B40)</f>
        <v>36</v>
      </c>
      <c r="BQ56" s="147">
        <f>IF(Cost!BQ$3=1,$B26,$B40)</f>
        <v>36</v>
      </c>
      <c r="BR56" s="147">
        <f>IF(Cost!BR$3=1,$B26,$B40)</f>
        <v>36</v>
      </c>
      <c r="BS56" s="147">
        <f>IF(Cost!BS$3=1,$B26,$B40)</f>
        <v>36</v>
      </c>
      <c r="BT56" s="147">
        <f>IF(Cost!BT$3=1,$B26,$B40)</f>
        <v>36</v>
      </c>
      <c r="BU56" s="147">
        <f>IF(Cost!BU$3=1,$B26,$B40)</f>
        <v>36</v>
      </c>
      <c r="BV56" s="147">
        <f>IF(Cost!BV$3=1,$B26,$B40)</f>
        <v>36</v>
      </c>
      <c r="BW56" s="147">
        <f>IF(Cost!BW$3=1,$B26,$B40)</f>
        <v>36</v>
      </c>
      <c r="BX56" s="147">
        <f>IF(Cost!BX$3=1,$B26,$B40)</f>
        <v>36</v>
      </c>
      <c r="BY56" s="147">
        <f>IF(Cost!BY$3=1,$B26,$B40)</f>
        <v>36</v>
      </c>
      <c r="BZ56" s="147">
        <f>IF(Cost!BZ$3=1,$B26,$B40)</f>
        <v>36</v>
      </c>
      <c r="CA56" s="147">
        <f>IF(Cost!CA$3=1,$B26,$B40)</f>
        <v>36</v>
      </c>
      <c r="CB56" s="147">
        <f>IF(Cost!CB$3=1,$B26,$B40)</f>
        <v>36</v>
      </c>
      <c r="CC56" s="147">
        <f>IF(Cost!CC$3=1,$B26,$B40)</f>
        <v>36</v>
      </c>
      <c r="CD56" s="147">
        <f>IF(Cost!CD$3=1,$B26,$B40)</f>
        <v>36</v>
      </c>
      <c r="CE56" s="147">
        <f>IF(Cost!CE$3=1,$B26,$B40)</f>
        <v>36</v>
      </c>
      <c r="CF56" s="147">
        <f>IF(Cost!CF$3=1,$B26,$B40)</f>
        <v>36</v>
      </c>
      <c r="CG56" s="147">
        <f>IF(Cost!CG$3=1,$B26,$B40)</f>
        <v>36</v>
      </c>
      <c r="CH56" s="147">
        <f>IF(Cost!CH$3=1,$B26,$B40)</f>
        <v>36</v>
      </c>
      <c r="CI56" s="147">
        <f>IF(Cost!CI$3=1,$B26,$B40)</f>
        <v>36</v>
      </c>
      <c r="CJ56" s="147">
        <f>IF(Cost!CJ$3=1,$B26,$B40)</f>
        <v>36</v>
      </c>
      <c r="CK56" s="147">
        <f>IF(Cost!CK$3=1,$B26,$B40)</f>
        <v>36</v>
      </c>
      <c r="CL56" s="147">
        <f>IF(Cost!CL$3=1,$B26,$B40)</f>
        <v>36</v>
      </c>
      <c r="CM56" s="147">
        <f>IF(Cost!CM$3=1,$B26,$B40)</f>
        <v>36</v>
      </c>
      <c r="CN56" s="147">
        <f>IF(Cost!CN$3=1,$B26,$B40)</f>
        <v>36</v>
      </c>
      <c r="CO56" s="147">
        <f>IF(Cost!CO$3=1,$B26,$B40)</f>
        <v>36</v>
      </c>
      <c r="CP56" s="147">
        <f>IF(Cost!CP$3=1,$B26,$B40)</f>
        <v>36</v>
      </c>
      <c r="CQ56" s="147">
        <f>IF(Cost!CQ$3=1,$B26,$B40)</f>
        <v>36</v>
      </c>
      <c r="CR56" s="147">
        <f>IF(Cost!CR$3=1,$B26,$B40)</f>
        <v>36</v>
      </c>
      <c r="CS56" s="147">
        <f>IF(Cost!CS$3=1,$B26,$B40)</f>
        <v>36</v>
      </c>
      <c r="CT56" s="147">
        <f>IF(Cost!CT$3=1,$B26,$B40)</f>
        <v>36</v>
      </c>
      <c r="CU56" s="147">
        <f>IF(Cost!CU$3=1,$B26,$B40)</f>
        <v>36</v>
      </c>
      <c r="CV56" s="147">
        <f>IF(Cost!CV$3=1,$B26,$B40)</f>
        <v>36</v>
      </c>
      <c r="CW56" s="147">
        <f>IF(Cost!CW$3=1,$B26,$B40)</f>
        <v>36</v>
      </c>
      <c r="CX56" s="147">
        <f>IF(Cost!CX$3=1,$B26,$B40)</f>
        <v>36</v>
      </c>
      <c r="CY56" s="147">
        <f>IF(Cost!CY$3=1,$B26,$B40)</f>
        <v>36</v>
      </c>
      <c r="CZ56" s="147">
        <f>IF(Cost!CZ$3=1,$B26,$B40)</f>
        <v>36</v>
      </c>
    </row>
    <row r="57" spans="1:104" ht="12.75">
      <c r="A57" s="142">
        <v>9</v>
      </c>
      <c r="B57" s="147">
        <f>IF(Cost!$B$3=1,$B27,$B41)</f>
        <v>48</v>
      </c>
      <c r="C57" s="147">
        <f>IF(Cost!$C$3=1,$B27,$B41)</f>
        <v>48</v>
      </c>
      <c r="D57" s="147">
        <f>IF(Cost!$D$3=1,$B27,$B41)</f>
        <v>48</v>
      </c>
      <c r="E57" s="147">
        <f>IF(Cost!$E$3=1,$B27,$B41)</f>
        <v>48</v>
      </c>
      <c r="F57" s="147">
        <f>IF(Cost!$F$3=1,$B27,$B41)</f>
        <v>48</v>
      </c>
      <c r="G57" s="147">
        <f>IF(Cost!$G$3=1,$B27,$B41)</f>
        <v>48</v>
      </c>
      <c r="H57" s="147">
        <f>IF(Cost!$H$3=1,$B27,$B41)</f>
        <v>48</v>
      </c>
      <c r="I57" s="147">
        <f>IF(Cost!$I$3=1,$B27,$B41)</f>
        <v>48</v>
      </c>
      <c r="J57" s="147">
        <f>IF(Cost!$J$3=1,$B27,$B41)</f>
        <v>48</v>
      </c>
      <c r="K57" s="147">
        <f>IF(Cost!$K$3=1,$B27,$B41)</f>
        <v>48</v>
      </c>
      <c r="L57" s="147">
        <f>IF(Cost!$L$3=1,$B27,$B41)</f>
        <v>48</v>
      </c>
      <c r="M57" s="147">
        <f>IF(Cost!$M$3=1,$B27,$B41)</f>
        <v>48</v>
      </c>
      <c r="N57" s="147">
        <f>IF(Cost!$N$3=1,$B27,$B41)</f>
        <v>48</v>
      </c>
      <c r="O57" s="147">
        <f>IF(Cost!$O$3=1,$B27,$B41)</f>
        <v>48</v>
      </c>
      <c r="P57" s="147">
        <f>IF(Cost!$P$3=1,$B27,$B41)</f>
        <v>48</v>
      </c>
      <c r="Q57" s="147">
        <f>IF(Cost!$Q$3=1,$B27,$B41)</f>
        <v>48</v>
      </c>
      <c r="R57" s="147">
        <f>IF(Cost!$R$3=1,$B27,$B41)</f>
        <v>48</v>
      </c>
      <c r="S57" s="147">
        <f>IF(Cost!$S$3=1,$B27,$B41)</f>
        <v>48</v>
      </c>
      <c r="T57" s="147">
        <f>IF(Cost!$T$3=1,$B27,$B41)</f>
        <v>48</v>
      </c>
      <c r="U57" s="147">
        <f>IF(Cost!U$3=1,$B27,$B41)</f>
        <v>48</v>
      </c>
      <c r="V57" s="147">
        <f>IF(Cost!V$3=1,$B27,$B41)</f>
        <v>48</v>
      </c>
      <c r="W57" s="147">
        <f>IF(Cost!W$3=1,$B27,$B41)</f>
        <v>48</v>
      </c>
      <c r="X57" s="147">
        <f>IF(Cost!X$3=1,$B27,$B41)</f>
        <v>48</v>
      </c>
      <c r="Y57" s="147">
        <f>IF(Cost!Y$3=1,$B27,$B41)</f>
        <v>48</v>
      </c>
      <c r="Z57" s="147">
        <f>IF(Cost!Z$3=1,$B27,$B41)</f>
        <v>48</v>
      </c>
      <c r="AA57" s="147">
        <f>IF(Cost!AA$3=1,$B27,$B41)</f>
        <v>48</v>
      </c>
      <c r="AB57" s="147">
        <f>IF(Cost!AB$3=1,$B27,$B41)</f>
        <v>48</v>
      </c>
      <c r="AC57" s="147">
        <f>IF(Cost!AC$3=1,$B27,$B41)</f>
        <v>48</v>
      </c>
      <c r="AD57" s="147">
        <f>IF(Cost!AD$3=1,$B27,$B41)</f>
        <v>48</v>
      </c>
      <c r="AE57" s="147">
        <f>IF(Cost!AE$3=1,$B27,$B41)</f>
        <v>48</v>
      </c>
      <c r="AF57" s="147">
        <f>IF(Cost!AF$3=1,$B27,$B41)</f>
        <v>48</v>
      </c>
      <c r="AG57" s="147">
        <f>IF(Cost!AG$3=1,$B27,$B41)</f>
        <v>48</v>
      </c>
      <c r="AH57" s="147">
        <f>IF(Cost!AH$3=1,$B27,$B41)</f>
        <v>48</v>
      </c>
      <c r="AI57" s="147">
        <f>IF(Cost!AI$3=1,$B27,$B41)</f>
        <v>48</v>
      </c>
      <c r="AJ57" s="147">
        <f>IF(Cost!AJ$3=1,$B27,$B41)</f>
        <v>48</v>
      </c>
      <c r="AK57" s="147">
        <f>IF(Cost!AK$3=1,$B27,$B41)</f>
        <v>48</v>
      </c>
      <c r="AL57" s="147">
        <f>IF(Cost!AL$3=1,$B27,$B41)</f>
        <v>48</v>
      </c>
      <c r="AM57" s="147">
        <f>IF(Cost!AM$3=1,$B27,$B41)</f>
        <v>48</v>
      </c>
      <c r="AN57" s="147">
        <f>IF(Cost!AN$3=1,$B27,$B41)</f>
        <v>48</v>
      </c>
      <c r="AO57" s="147">
        <f>IF(Cost!AO$3=1,$B27,$B41)</f>
        <v>48</v>
      </c>
      <c r="AP57" s="147">
        <f>IF(Cost!AP$3=1,$B27,$B41)</f>
        <v>48</v>
      </c>
      <c r="AQ57" s="147">
        <f>IF(Cost!AQ$3=1,$B27,$B41)</f>
        <v>48</v>
      </c>
      <c r="AR57" s="147">
        <f>IF(Cost!AR$3=1,$B27,$B41)</f>
        <v>48</v>
      </c>
      <c r="AS57" s="147">
        <f>IF(Cost!AS$3=1,$B27,$B41)</f>
        <v>48</v>
      </c>
      <c r="AT57" s="147">
        <f>IF(Cost!AT$3=1,$B27,$B41)</f>
        <v>48</v>
      </c>
      <c r="AU57" s="147">
        <f>IF(Cost!AU$3=1,$B27,$B41)</f>
        <v>48</v>
      </c>
      <c r="AV57" s="147">
        <f>IF(Cost!AV$3=1,$B27,$B41)</f>
        <v>48</v>
      </c>
      <c r="AW57" s="147">
        <f>IF(Cost!AW$3=1,$B27,$B41)</f>
        <v>48</v>
      </c>
      <c r="AX57" s="147">
        <f>IF(Cost!AX$3=1,$B27,$B41)</f>
        <v>48</v>
      </c>
      <c r="AY57" s="147">
        <f>IF(Cost!AY$3=1,$B27,$B41)</f>
        <v>48</v>
      </c>
      <c r="AZ57" s="147">
        <f>IF(Cost!AZ$3=1,$B27,$B41)</f>
        <v>48</v>
      </c>
      <c r="BA57" s="147">
        <f>IF(Cost!BA$3=1,$B27,$B41)</f>
        <v>48</v>
      </c>
      <c r="BB57" s="147">
        <f>IF(Cost!BB$3=1,$B27,$B41)</f>
        <v>48</v>
      </c>
      <c r="BC57" s="147">
        <f>IF(Cost!BC$3=1,$B27,$B41)</f>
        <v>48</v>
      </c>
      <c r="BD57" s="147">
        <f>IF(Cost!BD$3=1,$B27,$B41)</f>
        <v>48</v>
      </c>
      <c r="BE57" s="147">
        <f>IF(Cost!BE$3=1,$B27,$B41)</f>
        <v>48</v>
      </c>
      <c r="BF57" s="147">
        <f>IF(Cost!BF$3=1,$B27,$B41)</f>
        <v>48</v>
      </c>
      <c r="BG57" s="147">
        <f>IF(Cost!BG$3=1,$B27,$B41)</f>
        <v>48</v>
      </c>
      <c r="BH57" s="147">
        <f>IF(Cost!BH$3=1,$B27,$B41)</f>
        <v>48</v>
      </c>
      <c r="BI57" s="147">
        <f>IF(Cost!BI$3=1,$B27,$B41)</f>
        <v>48</v>
      </c>
      <c r="BJ57" s="147">
        <f>IF(Cost!BJ$3=1,$B27,$B41)</f>
        <v>48</v>
      </c>
      <c r="BK57" s="147">
        <f>IF(Cost!BK$3=1,$B27,$B41)</f>
        <v>48</v>
      </c>
      <c r="BL57" s="147">
        <f>IF(Cost!BL$3=1,$B27,$B41)</f>
        <v>48</v>
      </c>
      <c r="BM57" s="147">
        <f>IF(Cost!BM$3=1,$B27,$B41)</f>
        <v>48</v>
      </c>
      <c r="BN57" s="147">
        <f>IF(Cost!BN$3=1,$B27,$B41)</f>
        <v>48</v>
      </c>
      <c r="BO57" s="147">
        <f>IF(Cost!BO$3=1,$B27,$B41)</f>
        <v>48</v>
      </c>
      <c r="BP57" s="147">
        <f>IF(Cost!BP$3=1,$B27,$B41)</f>
        <v>48</v>
      </c>
      <c r="BQ57" s="147">
        <f>IF(Cost!BQ$3=1,$B27,$B41)</f>
        <v>48</v>
      </c>
      <c r="BR57" s="147">
        <f>IF(Cost!BR$3=1,$B27,$B41)</f>
        <v>48</v>
      </c>
      <c r="BS57" s="147">
        <f>IF(Cost!BS$3=1,$B27,$B41)</f>
        <v>48</v>
      </c>
      <c r="BT57" s="147">
        <f>IF(Cost!BT$3=1,$B27,$B41)</f>
        <v>48</v>
      </c>
      <c r="BU57" s="147">
        <f>IF(Cost!BU$3=1,$B27,$B41)</f>
        <v>48</v>
      </c>
      <c r="BV57" s="147">
        <f>IF(Cost!BV$3=1,$B27,$B41)</f>
        <v>48</v>
      </c>
      <c r="BW57" s="147">
        <f>IF(Cost!BW$3=1,$B27,$B41)</f>
        <v>48</v>
      </c>
      <c r="BX57" s="147">
        <f>IF(Cost!BX$3=1,$B27,$B41)</f>
        <v>48</v>
      </c>
      <c r="BY57" s="147">
        <f>IF(Cost!BY$3=1,$B27,$B41)</f>
        <v>48</v>
      </c>
      <c r="BZ57" s="147">
        <f>IF(Cost!BZ$3=1,$B27,$B41)</f>
        <v>48</v>
      </c>
      <c r="CA57" s="147">
        <f>IF(Cost!CA$3=1,$B27,$B41)</f>
        <v>48</v>
      </c>
      <c r="CB57" s="147">
        <f>IF(Cost!CB$3=1,$B27,$B41)</f>
        <v>48</v>
      </c>
      <c r="CC57" s="147">
        <f>IF(Cost!CC$3=1,$B27,$B41)</f>
        <v>48</v>
      </c>
      <c r="CD57" s="147">
        <f>IF(Cost!CD$3=1,$B27,$B41)</f>
        <v>48</v>
      </c>
      <c r="CE57" s="147">
        <f>IF(Cost!CE$3=1,$B27,$B41)</f>
        <v>48</v>
      </c>
      <c r="CF57" s="147">
        <f>IF(Cost!CF$3=1,$B27,$B41)</f>
        <v>48</v>
      </c>
      <c r="CG57" s="147">
        <f>IF(Cost!CG$3=1,$B27,$B41)</f>
        <v>48</v>
      </c>
      <c r="CH57" s="147">
        <f>IF(Cost!CH$3=1,$B27,$B41)</f>
        <v>48</v>
      </c>
      <c r="CI57" s="147">
        <f>IF(Cost!CI$3=1,$B27,$B41)</f>
        <v>48</v>
      </c>
      <c r="CJ57" s="147">
        <f>IF(Cost!CJ$3=1,$B27,$B41)</f>
        <v>48</v>
      </c>
      <c r="CK57" s="147">
        <f>IF(Cost!CK$3=1,$B27,$B41)</f>
        <v>48</v>
      </c>
      <c r="CL57" s="147">
        <f>IF(Cost!CL$3=1,$B27,$B41)</f>
        <v>48</v>
      </c>
      <c r="CM57" s="147">
        <f>IF(Cost!CM$3=1,$B27,$B41)</f>
        <v>48</v>
      </c>
      <c r="CN57" s="147">
        <f>IF(Cost!CN$3=1,$B27,$B41)</f>
        <v>48</v>
      </c>
      <c r="CO57" s="147">
        <f>IF(Cost!CO$3=1,$B27,$B41)</f>
        <v>48</v>
      </c>
      <c r="CP57" s="147">
        <f>IF(Cost!CP$3=1,$B27,$B41)</f>
        <v>48</v>
      </c>
      <c r="CQ57" s="147">
        <f>IF(Cost!CQ$3=1,$B27,$B41)</f>
        <v>48</v>
      </c>
      <c r="CR57" s="147">
        <f>IF(Cost!CR$3=1,$B27,$B41)</f>
        <v>48</v>
      </c>
      <c r="CS57" s="147">
        <f>IF(Cost!CS$3=1,$B27,$B41)</f>
        <v>48</v>
      </c>
      <c r="CT57" s="147">
        <f>IF(Cost!CT$3=1,$B27,$B41)</f>
        <v>48</v>
      </c>
      <c r="CU57" s="147">
        <f>IF(Cost!CU$3=1,$B27,$B41)</f>
        <v>48</v>
      </c>
      <c r="CV57" s="147">
        <f>IF(Cost!CV$3=1,$B27,$B41)</f>
        <v>48</v>
      </c>
      <c r="CW57" s="147">
        <f>IF(Cost!CW$3=1,$B27,$B41)</f>
        <v>48</v>
      </c>
      <c r="CX57" s="147">
        <f>IF(Cost!CX$3=1,$B27,$B41)</f>
        <v>42</v>
      </c>
      <c r="CY57" s="147">
        <f>IF(Cost!CY$3=1,$B27,$B41)</f>
        <v>42</v>
      </c>
      <c r="CZ57" s="147">
        <f>IF(Cost!CZ$3=1,$B27,$B41)</f>
        <v>42</v>
      </c>
    </row>
    <row r="58" spans="1:104" ht="12.75">
      <c r="A58" s="142">
        <v>10</v>
      </c>
      <c r="B58" s="147">
        <f>IF(Cost!$B$3=1,$B28,$B42)</f>
        <v>60</v>
      </c>
      <c r="C58" s="147">
        <f>IF(Cost!$C$3=1,$B28,$B42)</f>
        <v>60</v>
      </c>
      <c r="D58" s="147">
        <f>IF(Cost!$D$3=1,$B28,$B42)</f>
        <v>60</v>
      </c>
      <c r="E58" s="147">
        <f>IF(Cost!$E$3=1,$B28,$B42)</f>
        <v>60</v>
      </c>
      <c r="F58" s="147">
        <f>IF(Cost!$F$3=1,$B28,$B42)</f>
        <v>60</v>
      </c>
      <c r="G58" s="147">
        <f>IF(Cost!$G$3=1,$B28,$B42)</f>
        <v>60</v>
      </c>
      <c r="H58" s="147">
        <f>IF(Cost!$H$3=1,$B28,$B42)</f>
        <v>60</v>
      </c>
      <c r="I58" s="147">
        <f>IF(Cost!$I$3=1,$B28,$B42)</f>
        <v>60</v>
      </c>
      <c r="J58" s="147">
        <f>IF(Cost!$J$3=1,$B28,$B42)</f>
        <v>60</v>
      </c>
      <c r="K58" s="147">
        <f>IF(Cost!$K$3=1,$B28,$B42)</f>
        <v>60</v>
      </c>
      <c r="L58" s="147">
        <f>IF(Cost!$L$3=1,$B28,$B42)</f>
        <v>60</v>
      </c>
      <c r="M58" s="147">
        <f>IF(Cost!$M$3=1,$B28,$B42)</f>
        <v>60</v>
      </c>
      <c r="N58" s="147">
        <f>IF(Cost!$N$3=1,$B28,$B42)</f>
        <v>60</v>
      </c>
      <c r="O58" s="147">
        <f>IF(Cost!$O$3=1,$B28,$B42)</f>
        <v>60</v>
      </c>
      <c r="P58" s="147">
        <f>IF(Cost!$P$3=1,$B28,$B42)</f>
        <v>60</v>
      </c>
      <c r="Q58" s="147">
        <f>IF(Cost!$Q$3=1,$B28,$B42)</f>
        <v>60</v>
      </c>
      <c r="R58" s="147">
        <f>IF(Cost!$R$3=1,$B28,$B42)</f>
        <v>60</v>
      </c>
      <c r="S58" s="147">
        <f>IF(Cost!$S$3=1,$B28,$B42)</f>
        <v>60</v>
      </c>
      <c r="T58" s="147">
        <f>IF(Cost!$T$3=1,$B28,$B42)</f>
        <v>60</v>
      </c>
      <c r="U58" s="147">
        <f>IF(Cost!U$3=1,$B28,$B42)</f>
        <v>60</v>
      </c>
      <c r="V58" s="147">
        <f>IF(Cost!V$3=1,$B28,$B42)</f>
        <v>60</v>
      </c>
      <c r="W58" s="147">
        <f>IF(Cost!W$3=1,$B28,$B42)</f>
        <v>60</v>
      </c>
      <c r="X58" s="147">
        <f>IF(Cost!X$3=1,$B28,$B42)</f>
        <v>60</v>
      </c>
      <c r="Y58" s="147">
        <f>IF(Cost!Y$3=1,$B28,$B42)</f>
        <v>60</v>
      </c>
      <c r="Z58" s="147">
        <f>IF(Cost!Z$3=1,$B28,$B42)</f>
        <v>60</v>
      </c>
      <c r="AA58" s="147">
        <f>IF(Cost!AA$3=1,$B28,$B42)</f>
        <v>60</v>
      </c>
      <c r="AB58" s="147">
        <f>IF(Cost!AB$3=1,$B28,$B42)</f>
        <v>60</v>
      </c>
      <c r="AC58" s="147">
        <f>IF(Cost!AC$3=1,$B28,$B42)</f>
        <v>60</v>
      </c>
      <c r="AD58" s="147">
        <f>IF(Cost!AD$3=1,$B28,$B42)</f>
        <v>60</v>
      </c>
      <c r="AE58" s="147">
        <f>IF(Cost!AE$3=1,$B28,$B42)</f>
        <v>60</v>
      </c>
      <c r="AF58" s="147">
        <f>IF(Cost!AF$3=1,$B28,$B42)</f>
        <v>60</v>
      </c>
      <c r="AG58" s="147">
        <f>IF(Cost!AG$3=1,$B28,$B42)</f>
        <v>60</v>
      </c>
      <c r="AH58" s="147">
        <f>IF(Cost!AH$3=1,$B28,$B42)</f>
        <v>60</v>
      </c>
      <c r="AI58" s="147">
        <f>IF(Cost!AI$3=1,$B28,$B42)</f>
        <v>60</v>
      </c>
      <c r="AJ58" s="147">
        <f>IF(Cost!AJ$3=1,$B28,$B42)</f>
        <v>60</v>
      </c>
      <c r="AK58" s="147">
        <f>IF(Cost!AK$3=1,$B28,$B42)</f>
        <v>60</v>
      </c>
      <c r="AL58" s="147">
        <f>IF(Cost!AL$3=1,$B28,$B42)</f>
        <v>60</v>
      </c>
      <c r="AM58" s="147">
        <f>IF(Cost!AM$3=1,$B28,$B42)</f>
        <v>60</v>
      </c>
      <c r="AN58" s="147">
        <f>IF(Cost!AN$3=1,$B28,$B42)</f>
        <v>60</v>
      </c>
      <c r="AO58" s="147">
        <f>IF(Cost!AO$3=1,$B28,$B42)</f>
        <v>60</v>
      </c>
      <c r="AP58" s="147">
        <f>IF(Cost!AP$3=1,$B28,$B42)</f>
        <v>60</v>
      </c>
      <c r="AQ58" s="147">
        <f>IF(Cost!AQ$3=1,$B28,$B42)</f>
        <v>60</v>
      </c>
      <c r="AR58" s="147">
        <f>IF(Cost!AR$3=1,$B28,$B42)</f>
        <v>60</v>
      </c>
      <c r="AS58" s="147">
        <f>IF(Cost!AS$3=1,$B28,$B42)</f>
        <v>60</v>
      </c>
      <c r="AT58" s="147">
        <f>IF(Cost!AT$3=1,$B28,$B42)</f>
        <v>60</v>
      </c>
      <c r="AU58" s="147">
        <f>IF(Cost!AU$3=1,$B28,$B42)</f>
        <v>60</v>
      </c>
      <c r="AV58" s="147">
        <f>IF(Cost!AV$3=1,$B28,$B42)</f>
        <v>60</v>
      </c>
      <c r="AW58" s="147">
        <f>IF(Cost!AW$3=1,$B28,$B42)</f>
        <v>60</v>
      </c>
      <c r="AX58" s="147">
        <f>IF(Cost!AX$3=1,$B28,$B42)</f>
        <v>60</v>
      </c>
      <c r="AY58" s="147">
        <f>IF(Cost!AY$3=1,$B28,$B42)</f>
        <v>60</v>
      </c>
      <c r="AZ58" s="147">
        <f>IF(Cost!AZ$3=1,$B28,$B42)</f>
        <v>60</v>
      </c>
      <c r="BA58" s="147">
        <f>IF(Cost!BA$3=1,$B28,$B42)</f>
        <v>60</v>
      </c>
      <c r="BB58" s="147">
        <f>IF(Cost!BB$3=1,$B28,$B42)</f>
        <v>60</v>
      </c>
      <c r="BC58" s="147">
        <f>IF(Cost!BC$3=1,$B28,$B42)</f>
        <v>60</v>
      </c>
      <c r="BD58" s="147">
        <f>IF(Cost!BD$3=1,$B28,$B42)</f>
        <v>60</v>
      </c>
      <c r="BE58" s="147">
        <f>IF(Cost!BE$3=1,$B28,$B42)</f>
        <v>60</v>
      </c>
      <c r="BF58" s="147">
        <f>IF(Cost!BF$3=1,$B28,$B42)</f>
        <v>60</v>
      </c>
      <c r="BG58" s="147">
        <f>IF(Cost!BG$3=1,$B28,$B42)</f>
        <v>60</v>
      </c>
      <c r="BH58" s="147">
        <f>IF(Cost!BH$3=1,$B28,$B42)</f>
        <v>60</v>
      </c>
      <c r="BI58" s="147">
        <f>IF(Cost!BI$3=1,$B28,$B42)</f>
        <v>60</v>
      </c>
      <c r="BJ58" s="147">
        <f>IF(Cost!BJ$3=1,$B28,$B42)</f>
        <v>60</v>
      </c>
      <c r="BK58" s="147">
        <f>IF(Cost!BK$3=1,$B28,$B42)</f>
        <v>60</v>
      </c>
      <c r="BL58" s="147">
        <f>IF(Cost!BL$3=1,$B28,$B42)</f>
        <v>60</v>
      </c>
      <c r="BM58" s="147">
        <f>IF(Cost!BM$3=1,$B28,$B42)</f>
        <v>60</v>
      </c>
      <c r="BN58" s="147">
        <f>IF(Cost!BN$3=1,$B28,$B42)</f>
        <v>60</v>
      </c>
      <c r="BO58" s="147">
        <f>IF(Cost!BO$3=1,$B28,$B42)</f>
        <v>60</v>
      </c>
      <c r="BP58" s="147">
        <f>IF(Cost!BP$3=1,$B28,$B42)</f>
        <v>60</v>
      </c>
      <c r="BQ58" s="147">
        <f>IF(Cost!BQ$3=1,$B28,$B42)</f>
        <v>60</v>
      </c>
      <c r="BR58" s="147">
        <f>IF(Cost!BR$3=1,$B28,$B42)</f>
        <v>60</v>
      </c>
      <c r="BS58" s="147">
        <f>IF(Cost!BS$3=1,$B28,$B42)</f>
        <v>60</v>
      </c>
      <c r="BT58" s="147">
        <f>IF(Cost!BT$3=1,$B28,$B42)</f>
        <v>60</v>
      </c>
      <c r="BU58" s="147">
        <f>IF(Cost!BU$3=1,$B28,$B42)</f>
        <v>60</v>
      </c>
      <c r="BV58" s="147">
        <f>IF(Cost!BV$3=1,$B28,$B42)</f>
        <v>60</v>
      </c>
      <c r="BW58" s="147">
        <f>IF(Cost!BW$3=1,$B28,$B42)</f>
        <v>60</v>
      </c>
      <c r="BX58" s="147">
        <f>IF(Cost!BX$3=1,$B28,$B42)</f>
        <v>60</v>
      </c>
      <c r="BY58" s="147">
        <f>IF(Cost!BY$3=1,$B28,$B42)</f>
        <v>60</v>
      </c>
      <c r="BZ58" s="147">
        <f>IF(Cost!BZ$3=1,$B28,$B42)</f>
        <v>60</v>
      </c>
      <c r="CA58" s="147">
        <f>IF(Cost!CA$3=1,$B28,$B42)</f>
        <v>60</v>
      </c>
      <c r="CB58" s="147">
        <f>IF(Cost!CB$3=1,$B28,$B42)</f>
        <v>60</v>
      </c>
      <c r="CC58" s="147">
        <f>IF(Cost!CC$3=1,$B28,$B42)</f>
        <v>60</v>
      </c>
      <c r="CD58" s="147">
        <f>IF(Cost!CD$3=1,$B28,$B42)</f>
        <v>60</v>
      </c>
      <c r="CE58" s="147">
        <f>IF(Cost!CE$3=1,$B28,$B42)</f>
        <v>60</v>
      </c>
      <c r="CF58" s="147">
        <f>IF(Cost!CF$3=1,$B28,$B42)</f>
        <v>60</v>
      </c>
      <c r="CG58" s="147">
        <f>IF(Cost!CG$3=1,$B28,$B42)</f>
        <v>60</v>
      </c>
      <c r="CH58" s="147">
        <f>IF(Cost!CH$3=1,$B28,$B42)</f>
        <v>60</v>
      </c>
      <c r="CI58" s="147">
        <f>IF(Cost!CI$3=1,$B28,$B42)</f>
        <v>60</v>
      </c>
      <c r="CJ58" s="147">
        <f>IF(Cost!CJ$3=1,$B28,$B42)</f>
        <v>60</v>
      </c>
      <c r="CK58" s="147">
        <f>IF(Cost!CK$3=1,$B28,$B42)</f>
        <v>60</v>
      </c>
      <c r="CL58" s="147">
        <f>IF(Cost!CL$3=1,$B28,$B42)</f>
        <v>60</v>
      </c>
      <c r="CM58" s="147">
        <f>IF(Cost!CM$3=1,$B28,$B42)</f>
        <v>60</v>
      </c>
      <c r="CN58" s="147">
        <f>IF(Cost!CN$3=1,$B28,$B42)</f>
        <v>60</v>
      </c>
      <c r="CO58" s="147">
        <f>IF(Cost!CO$3=1,$B28,$B42)</f>
        <v>60</v>
      </c>
      <c r="CP58" s="147">
        <f>IF(Cost!CP$3=1,$B28,$B42)</f>
        <v>60</v>
      </c>
      <c r="CQ58" s="147">
        <f>IF(Cost!CQ$3=1,$B28,$B42)</f>
        <v>60</v>
      </c>
      <c r="CR58" s="147">
        <f>IF(Cost!CR$3=1,$B28,$B42)</f>
        <v>60</v>
      </c>
      <c r="CS58" s="147">
        <f>IF(Cost!CS$3=1,$B28,$B42)</f>
        <v>60</v>
      </c>
      <c r="CT58" s="147">
        <f>IF(Cost!CT$3=1,$B28,$B42)</f>
        <v>60</v>
      </c>
      <c r="CU58" s="147">
        <f>IF(Cost!CU$3=1,$B28,$B42)</f>
        <v>60</v>
      </c>
      <c r="CV58" s="147">
        <f>IF(Cost!CV$3=1,$B28,$B42)</f>
        <v>60</v>
      </c>
      <c r="CW58" s="147">
        <f>IF(Cost!CW$3=1,$B28,$B42)</f>
        <v>60</v>
      </c>
      <c r="CX58" s="147">
        <f>IF(Cost!CX$3=1,$B28,$B42)</f>
        <v>48</v>
      </c>
      <c r="CY58" s="147">
        <f>IF(Cost!CY$3=1,$B28,$B42)</f>
        <v>48</v>
      </c>
      <c r="CZ58" s="147">
        <f>IF(Cost!CZ$3=1,$B28,$B42)</f>
        <v>48</v>
      </c>
    </row>
    <row r="59" spans="1:104" ht="12.75">
      <c r="A59" s="142">
        <v>11</v>
      </c>
      <c r="B59" s="147">
        <f>IF(Cost!$B$3=1,$B29,$B43)</f>
        <v>72</v>
      </c>
      <c r="C59" s="147">
        <f>IF(Cost!$C$3=1,$B29,$B43)</f>
        <v>72</v>
      </c>
      <c r="D59" s="147">
        <f>IF(Cost!$D$3=1,$B29,$B43)</f>
        <v>72</v>
      </c>
      <c r="E59" s="147">
        <f>IF(Cost!$E$3=1,$B29,$B43)</f>
        <v>72</v>
      </c>
      <c r="F59" s="147">
        <f>IF(Cost!$F$3=1,$B29,$B43)</f>
        <v>72</v>
      </c>
      <c r="G59" s="147">
        <f>IF(Cost!$G$3=1,$B29,$B43)</f>
        <v>72</v>
      </c>
      <c r="H59" s="147">
        <f>IF(Cost!$H$3=1,$B29,$B43)</f>
        <v>72</v>
      </c>
      <c r="I59" s="147">
        <f>IF(Cost!$I$3=1,$B29,$B43)</f>
        <v>72</v>
      </c>
      <c r="J59" s="147">
        <f>IF(Cost!$J$3=1,$B29,$B43)</f>
        <v>72</v>
      </c>
      <c r="K59" s="147">
        <f>IF(Cost!$K$3=1,$B29,$B43)</f>
        <v>72</v>
      </c>
      <c r="L59" s="147">
        <f>IF(Cost!$L$3=1,$B29,$B43)</f>
        <v>72</v>
      </c>
      <c r="M59" s="147">
        <f>IF(Cost!$M$3=1,$B29,$B43)</f>
        <v>72</v>
      </c>
      <c r="N59" s="147">
        <f>IF(Cost!$N$3=1,$B29,$B43)</f>
        <v>72</v>
      </c>
      <c r="O59" s="147">
        <f>IF(Cost!$O$3=1,$B29,$B43)</f>
        <v>72</v>
      </c>
      <c r="P59" s="147">
        <f>IF(Cost!$P$3=1,$B29,$B43)</f>
        <v>72</v>
      </c>
      <c r="Q59" s="147">
        <f>IF(Cost!$Q$3=1,$B29,$B43)</f>
        <v>72</v>
      </c>
      <c r="R59" s="147">
        <f>IF(Cost!$R$3=1,$B29,$B43)</f>
        <v>72</v>
      </c>
      <c r="S59" s="147">
        <f>IF(Cost!$S$3=1,$B29,$B43)</f>
        <v>72</v>
      </c>
      <c r="T59" s="147">
        <f>IF(Cost!$T$3=1,$B29,$B43)</f>
        <v>72</v>
      </c>
      <c r="U59" s="147">
        <f>IF(Cost!U$3=1,$B29,$B43)</f>
        <v>72</v>
      </c>
      <c r="V59" s="147">
        <f>IF(Cost!V$3=1,$B29,$B43)</f>
        <v>72</v>
      </c>
      <c r="W59" s="147">
        <f>IF(Cost!W$3=1,$B29,$B43)</f>
        <v>72</v>
      </c>
      <c r="X59" s="147">
        <f>IF(Cost!X$3=1,$B29,$B43)</f>
        <v>72</v>
      </c>
      <c r="Y59" s="147">
        <f>IF(Cost!Y$3=1,$B29,$B43)</f>
        <v>72</v>
      </c>
      <c r="Z59" s="147">
        <f>IF(Cost!Z$3=1,$B29,$B43)</f>
        <v>72</v>
      </c>
      <c r="AA59" s="147">
        <f>IF(Cost!AA$3=1,$B29,$B43)</f>
        <v>72</v>
      </c>
      <c r="AB59" s="147">
        <f>IF(Cost!AB$3=1,$B29,$B43)</f>
        <v>72</v>
      </c>
      <c r="AC59" s="147">
        <f>IF(Cost!AC$3=1,$B29,$B43)</f>
        <v>72</v>
      </c>
      <c r="AD59" s="147">
        <f>IF(Cost!AD$3=1,$B29,$B43)</f>
        <v>72</v>
      </c>
      <c r="AE59" s="147">
        <f>IF(Cost!AE$3=1,$B29,$B43)</f>
        <v>72</v>
      </c>
      <c r="AF59" s="147">
        <f>IF(Cost!AF$3=1,$B29,$B43)</f>
        <v>72</v>
      </c>
      <c r="AG59" s="147">
        <f>IF(Cost!AG$3=1,$B29,$B43)</f>
        <v>72</v>
      </c>
      <c r="AH59" s="147">
        <f>IF(Cost!AH$3=1,$B29,$B43)</f>
        <v>72</v>
      </c>
      <c r="AI59" s="147">
        <f>IF(Cost!AI$3=1,$B29,$B43)</f>
        <v>72</v>
      </c>
      <c r="AJ59" s="147">
        <f>IF(Cost!AJ$3=1,$B29,$B43)</f>
        <v>72</v>
      </c>
      <c r="AK59" s="147">
        <f>IF(Cost!AK$3=1,$B29,$B43)</f>
        <v>72</v>
      </c>
      <c r="AL59" s="147">
        <f>IF(Cost!AL$3=1,$B29,$B43)</f>
        <v>72</v>
      </c>
      <c r="AM59" s="147">
        <f>IF(Cost!AM$3=1,$B29,$B43)</f>
        <v>72</v>
      </c>
      <c r="AN59" s="147">
        <f>IF(Cost!AN$3=1,$B29,$B43)</f>
        <v>72</v>
      </c>
      <c r="AO59" s="147">
        <f>IF(Cost!AO$3=1,$B29,$B43)</f>
        <v>72</v>
      </c>
      <c r="AP59" s="147">
        <f>IF(Cost!AP$3=1,$B29,$B43)</f>
        <v>72</v>
      </c>
      <c r="AQ59" s="147">
        <f>IF(Cost!AQ$3=1,$B29,$B43)</f>
        <v>72</v>
      </c>
      <c r="AR59" s="147">
        <f>IF(Cost!AR$3=1,$B29,$B43)</f>
        <v>72</v>
      </c>
      <c r="AS59" s="147">
        <f>IF(Cost!AS$3=1,$B29,$B43)</f>
        <v>72</v>
      </c>
      <c r="AT59" s="147">
        <f>IF(Cost!AT$3=1,$B29,$B43)</f>
        <v>72</v>
      </c>
      <c r="AU59" s="147">
        <f>IF(Cost!AU$3=1,$B29,$B43)</f>
        <v>72</v>
      </c>
      <c r="AV59" s="147">
        <f>IF(Cost!AV$3=1,$B29,$B43)</f>
        <v>72</v>
      </c>
      <c r="AW59" s="147">
        <f>IF(Cost!AW$3=1,$B29,$B43)</f>
        <v>72</v>
      </c>
      <c r="AX59" s="147">
        <f>IF(Cost!AX$3=1,$B29,$B43)</f>
        <v>72</v>
      </c>
      <c r="AY59" s="147">
        <f>IF(Cost!AY$3=1,$B29,$B43)</f>
        <v>72</v>
      </c>
      <c r="AZ59" s="147">
        <f>IF(Cost!AZ$3=1,$B29,$B43)</f>
        <v>72</v>
      </c>
      <c r="BA59" s="147">
        <f>IF(Cost!BA$3=1,$B29,$B43)</f>
        <v>72</v>
      </c>
      <c r="BB59" s="147">
        <f>IF(Cost!BB$3=1,$B29,$B43)</f>
        <v>72</v>
      </c>
      <c r="BC59" s="147">
        <f>IF(Cost!BC$3=1,$B29,$B43)</f>
        <v>72</v>
      </c>
      <c r="BD59" s="147">
        <f>IF(Cost!BD$3=1,$B29,$B43)</f>
        <v>72</v>
      </c>
      <c r="BE59" s="147">
        <f>IF(Cost!BE$3=1,$B29,$B43)</f>
        <v>72</v>
      </c>
      <c r="BF59" s="147">
        <f>IF(Cost!BF$3=1,$B29,$B43)</f>
        <v>72</v>
      </c>
      <c r="BG59" s="147">
        <f>IF(Cost!BG$3=1,$B29,$B43)</f>
        <v>72</v>
      </c>
      <c r="BH59" s="147">
        <f>IF(Cost!BH$3=1,$B29,$B43)</f>
        <v>72</v>
      </c>
      <c r="BI59" s="147">
        <f>IF(Cost!BI$3=1,$B29,$B43)</f>
        <v>72</v>
      </c>
      <c r="BJ59" s="147">
        <f>IF(Cost!BJ$3=1,$B29,$B43)</f>
        <v>72</v>
      </c>
      <c r="BK59" s="147">
        <f>IF(Cost!BK$3=1,$B29,$B43)</f>
        <v>72</v>
      </c>
      <c r="BL59" s="147">
        <f>IF(Cost!BL$3=1,$B29,$B43)</f>
        <v>72</v>
      </c>
      <c r="BM59" s="147">
        <f>IF(Cost!BM$3=1,$B29,$B43)</f>
        <v>72</v>
      </c>
      <c r="BN59" s="147">
        <f>IF(Cost!BN$3=1,$B29,$B43)</f>
        <v>72</v>
      </c>
      <c r="BO59" s="147">
        <f>IF(Cost!BO$3=1,$B29,$B43)</f>
        <v>72</v>
      </c>
      <c r="BP59" s="147">
        <f>IF(Cost!BP$3=1,$B29,$B43)</f>
        <v>72</v>
      </c>
      <c r="BQ59" s="147">
        <f>IF(Cost!BQ$3=1,$B29,$B43)</f>
        <v>72</v>
      </c>
      <c r="BR59" s="147">
        <f>IF(Cost!BR$3=1,$B29,$B43)</f>
        <v>72</v>
      </c>
      <c r="BS59" s="147">
        <f>IF(Cost!BS$3=1,$B29,$B43)</f>
        <v>72</v>
      </c>
      <c r="BT59" s="147">
        <f>IF(Cost!BT$3=1,$B29,$B43)</f>
        <v>72</v>
      </c>
      <c r="BU59" s="147">
        <f>IF(Cost!BU$3=1,$B29,$B43)</f>
        <v>72</v>
      </c>
      <c r="BV59" s="147">
        <f>IF(Cost!BV$3=1,$B29,$B43)</f>
        <v>72</v>
      </c>
      <c r="BW59" s="147">
        <f>IF(Cost!BW$3=1,$B29,$B43)</f>
        <v>72</v>
      </c>
      <c r="BX59" s="147">
        <f>IF(Cost!BX$3=1,$B29,$B43)</f>
        <v>72</v>
      </c>
      <c r="BY59" s="147">
        <f>IF(Cost!BY$3=1,$B29,$B43)</f>
        <v>72</v>
      </c>
      <c r="BZ59" s="147">
        <f>IF(Cost!BZ$3=1,$B29,$B43)</f>
        <v>72</v>
      </c>
      <c r="CA59" s="147">
        <f>IF(Cost!CA$3=1,$B29,$B43)</f>
        <v>72</v>
      </c>
      <c r="CB59" s="147">
        <f>IF(Cost!CB$3=1,$B29,$B43)</f>
        <v>72</v>
      </c>
      <c r="CC59" s="147">
        <f>IF(Cost!CC$3=1,$B29,$B43)</f>
        <v>72</v>
      </c>
      <c r="CD59" s="147">
        <f>IF(Cost!CD$3=1,$B29,$B43)</f>
        <v>72</v>
      </c>
      <c r="CE59" s="147">
        <f>IF(Cost!CE$3=1,$B29,$B43)</f>
        <v>72</v>
      </c>
      <c r="CF59" s="147">
        <f>IF(Cost!CF$3=1,$B29,$B43)</f>
        <v>72</v>
      </c>
      <c r="CG59" s="147">
        <f>IF(Cost!CG$3=1,$B29,$B43)</f>
        <v>72</v>
      </c>
      <c r="CH59" s="147">
        <f>IF(Cost!CH$3=1,$B29,$B43)</f>
        <v>72</v>
      </c>
      <c r="CI59" s="147">
        <f>IF(Cost!CI$3=1,$B29,$B43)</f>
        <v>72</v>
      </c>
      <c r="CJ59" s="147">
        <f>IF(Cost!CJ$3=1,$B29,$B43)</f>
        <v>72</v>
      </c>
      <c r="CK59" s="147">
        <f>IF(Cost!CK$3=1,$B29,$B43)</f>
        <v>72</v>
      </c>
      <c r="CL59" s="147">
        <f>IF(Cost!CL$3=1,$B29,$B43)</f>
        <v>72</v>
      </c>
      <c r="CM59" s="147">
        <f>IF(Cost!CM$3=1,$B29,$B43)</f>
        <v>72</v>
      </c>
      <c r="CN59" s="147">
        <f>IF(Cost!CN$3=1,$B29,$B43)</f>
        <v>72</v>
      </c>
      <c r="CO59" s="147">
        <f>IF(Cost!CO$3=1,$B29,$B43)</f>
        <v>72</v>
      </c>
      <c r="CP59" s="147">
        <f>IF(Cost!CP$3=1,$B29,$B43)</f>
        <v>72</v>
      </c>
      <c r="CQ59" s="147">
        <f>IF(Cost!CQ$3=1,$B29,$B43)</f>
        <v>72</v>
      </c>
      <c r="CR59" s="147">
        <f>IF(Cost!CR$3=1,$B29,$B43)</f>
        <v>72</v>
      </c>
      <c r="CS59" s="147">
        <f>IF(Cost!CS$3=1,$B29,$B43)</f>
        <v>72</v>
      </c>
      <c r="CT59" s="147">
        <f>IF(Cost!CT$3=1,$B29,$B43)</f>
        <v>72</v>
      </c>
      <c r="CU59" s="147">
        <f>IF(Cost!CU$3=1,$B29,$B43)</f>
        <v>72</v>
      </c>
      <c r="CV59" s="147">
        <f>IF(Cost!CV$3=1,$B29,$B43)</f>
        <v>72</v>
      </c>
      <c r="CW59" s="147">
        <f>IF(Cost!CW$3=1,$B29,$B43)</f>
        <v>72</v>
      </c>
      <c r="CX59" s="147">
        <f>IF(Cost!CX$3=1,$B29,$B43)</f>
        <v>60</v>
      </c>
      <c r="CY59" s="147">
        <f>IF(Cost!CY$3=1,$B29,$B43)</f>
        <v>60</v>
      </c>
      <c r="CZ59" s="147">
        <f>IF(Cost!CZ$3=1,$B29,$B43)</f>
        <v>60</v>
      </c>
    </row>
    <row r="60" spans="1:104" ht="12.75">
      <c r="A60" s="142">
        <v>12</v>
      </c>
      <c r="B60" s="147" t="str">
        <f>IF(Cost!$B$3=1,$B30,$B44)</f>
        <v>NA</v>
      </c>
      <c r="C60" s="147" t="str">
        <f>IF(Cost!$C$3=1,$B30,$B44)</f>
        <v>NA</v>
      </c>
      <c r="D60" s="147" t="str">
        <f>IF(Cost!$D$3=1,$B30,$B44)</f>
        <v>NA</v>
      </c>
      <c r="E60" s="147" t="str">
        <f>IF(Cost!$E$3=1,$B30,$B44)</f>
        <v>NA</v>
      </c>
      <c r="F60" s="147" t="str">
        <f>IF(Cost!$F$3=1,$B30,$B44)</f>
        <v>NA</v>
      </c>
      <c r="G60" s="147" t="str">
        <f>IF(Cost!$G$3=1,$B30,$B44)</f>
        <v>NA</v>
      </c>
      <c r="H60" s="147" t="str">
        <f>IF(Cost!$H$3=1,$B30,$B44)</f>
        <v>NA</v>
      </c>
      <c r="I60" s="147" t="str">
        <f>IF(Cost!$I$3=1,$B30,$B44)</f>
        <v>NA</v>
      </c>
      <c r="J60" s="147" t="str">
        <f>IF(Cost!$J$3=1,$B30,$B44)</f>
        <v>NA</v>
      </c>
      <c r="K60" s="147" t="str">
        <f>IF(Cost!$K$3=1,$B30,$B44)</f>
        <v>NA</v>
      </c>
      <c r="L60" s="147" t="str">
        <f>IF(Cost!$L$3=1,$B30,$B44)</f>
        <v>NA</v>
      </c>
      <c r="M60" s="147" t="str">
        <f>IF(Cost!$M$3=1,$B30,$B44)</f>
        <v>NA</v>
      </c>
      <c r="N60" s="147" t="str">
        <f>IF(Cost!$N$3=1,$B30,$B44)</f>
        <v>NA</v>
      </c>
      <c r="O60" s="147" t="str">
        <f>IF(Cost!$O$3=1,$B30,$B44)</f>
        <v>NA</v>
      </c>
      <c r="P60" s="147" t="str">
        <f>IF(Cost!$P$3=1,$B30,$B44)</f>
        <v>NA</v>
      </c>
      <c r="Q60" s="147" t="str">
        <f>IF(Cost!$Q$3=1,$B30,$B44)</f>
        <v>NA</v>
      </c>
      <c r="R60" s="147" t="str">
        <f>IF(Cost!$R$3=1,$B30,$B44)</f>
        <v>NA</v>
      </c>
      <c r="S60" s="147" t="str">
        <f>IF(Cost!$S$3=1,$B30,$B44)</f>
        <v>NA</v>
      </c>
      <c r="T60" s="147" t="str">
        <f>IF(Cost!$T$3=1,$B30,$B44)</f>
        <v>NA</v>
      </c>
      <c r="U60" s="147" t="str">
        <f>IF(Cost!U$3=1,$B30,$B44)</f>
        <v>NA</v>
      </c>
      <c r="V60" s="147" t="str">
        <f>IF(Cost!V$3=1,$B30,$B44)</f>
        <v>NA</v>
      </c>
      <c r="W60" s="147" t="str">
        <f>IF(Cost!W$3=1,$B30,$B44)</f>
        <v>NA</v>
      </c>
      <c r="X60" s="147" t="str">
        <f>IF(Cost!X$3=1,$B30,$B44)</f>
        <v>NA</v>
      </c>
      <c r="Y60" s="147" t="str">
        <f>IF(Cost!Y$3=1,$B30,$B44)</f>
        <v>NA</v>
      </c>
      <c r="Z60" s="147" t="str">
        <f>IF(Cost!Z$3=1,$B30,$B44)</f>
        <v>NA</v>
      </c>
      <c r="AA60" s="147" t="str">
        <f>IF(Cost!AA$3=1,$B30,$B44)</f>
        <v>NA</v>
      </c>
      <c r="AB60" s="147" t="str">
        <f>IF(Cost!AB$3=1,$B30,$B44)</f>
        <v>NA</v>
      </c>
      <c r="AC60" s="147" t="str">
        <f>IF(Cost!AC$3=1,$B30,$B44)</f>
        <v>NA</v>
      </c>
      <c r="AD60" s="147" t="str">
        <f>IF(Cost!AD$3=1,$B30,$B44)</f>
        <v>NA</v>
      </c>
      <c r="AE60" s="147" t="str">
        <f>IF(Cost!AE$3=1,$B30,$B44)</f>
        <v>NA</v>
      </c>
      <c r="AF60" s="147" t="str">
        <f>IF(Cost!AF$3=1,$B30,$B44)</f>
        <v>NA</v>
      </c>
      <c r="AG60" s="147" t="str">
        <f>IF(Cost!AG$3=1,$B30,$B44)</f>
        <v>NA</v>
      </c>
      <c r="AH60" s="147" t="str">
        <f>IF(Cost!AH$3=1,$B30,$B44)</f>
        <v>NA</v>
      </c>
      <c r="AI60" s="147" t="str">
        <f>IF(Cost!AI$3=1,$B30,$B44)</f>
        <v>NA</v>
      </c>
      <c r="AJ60" s="147" t="str">
        <f>IF(Cost!AJ$3=1,$B30,$B44)</f>
        <v>NA</v>
      </c>
      <c r="AK60" s="147" t="str">
        <f>IF(Cost!AK$3=1,$B30,$B44)</f>
        <v>NA</v>
      </c>
      <c r="AL60" s="147" t="str">
        <f>IF(Cost!AL$3=1,$B30,$B44)</f>
        <v>NA</v>
      </c>
      <c r="AM60" s="147" t="str">
        <f>IF(Cost!AM$3=1,$B30,$B44)</f>
        <v>NA</v>
      </c>
      <c r="AN60" s="147" t="str">
        <f>IF(Cost!AN$3=1,$B30,$B44)</f>
        <v>NA</v>
      </c>
      <c r="AO60" s="147" t="str">
        <f>IF(Cost!AO$3=1,$B30,$B44)</f>
        <v>NA</v>
      </c>
      <c r="AP60" s="147" t="str">
        <f>IF(Cost!AP$3=1,$B30,$B44)</f>
        <v>NA</v>
      </c>
      <c r="AQ60" s="147" t="str">
        <f>IF(Cost!AQ$3=1,$B30,$B44)</f>
        <v>NA</v>
      </c>
      <c r="AR60" s="147" t="str">
        <f>IF(Cost!AR$3=1,$B30,$B44)</f>
        <v>NA</v>
      </c>
      <c r="AS60" s="147" t="str">
        <f>IF(Cost!AS$3=1,$B30,$B44)</f>
        <v>NA</v>
      </c>
      <c r="AT60" s="147" t="str">
        <f>IF(Cost!AT$3=1,$B30,$B44)</f>
        <v>NA</v>
      </c>
      <c r="AU60" s="147" t="str">
        <f>IF(Cost!AU$3=1,$B30,$B44)</f>
        <v>NA</v>
      </c>
      <c r="AV60" s="147" t="str">
        <f>IF(Cost!AV$3=1,$B30,$B44)</f>
        <v>NA</v>
      </c>
      <c r="AW60" s="147" t="str">
        <f>IF(Cost!AW$3=1,$B30,$B44)</f>
        <v>NA</v>
      </c>
      <c r="AX60" s="147" t="str">
        <f>IF(Cost!AX$3=1,$B30,$B44)</f>
        <v>NA</v>
      </c>
      <c r="AY60" s="147" t="str">
        <f>IF(Cost!AY$3=1,$B30,$B44)</f>
        <v>NA</v>
      </c>
      <c r="AZ60" s="147" t="str">
        <f>IF(Cost!AZ$3=1,$B30,$B44)</f>
        <v>NA</v>
      </c>
      <c r="BA60" s="147" t="str">
        <f>IF(Cost!BA$3=1,$B30,$B44)</f>
        <v>NA</v>
      </c>
      <c r="BB60" s="147" t="str">
        <f>IF(Cost!BB$3=1,$B30,$B44)</f>
        <v>NA</v>
      </c>
      <c r="BC60" s="147" t="str">
        <f>IF(Cost!BC$3=1,$B30,$B44)</f>
        <v>NA</v>
      </c>
      <c r="BD60" s="147" t="str">
        <f>IF(Cost!BD$3=1,$B30,$B44)</f>
        <v>NA</v>
      </c>
      <c r="BE60" s="147" t="str">
        <f>IF(Cost!BE$3=1,$B30,$B44)</f>
        <v>NA</v>
      </c>
      <c r="BF60" s="147" t="str">
        <f>IF(Cost!BF$3=1,$B30,$B44)</f>
        <v>NA</v>
      </c>
      <c r="BG60" s="147" t="str">
        <f>IF(Cost!BG$3=1,$B30,$B44)</f>
        <v>NA</v>
      </c>
      <c r="BH60" s="147" t="str">
        <f>IF(Cost!BH$3=1,$B30,$B44)</f>
        <v>NA</v>
      </c>
      <c r="BI60" s="147" t="str">
        <f>IF(Cost!BI$3=1,$B30,$B44)</f>
        <v>NA</v>
      </c>
      <c r="BJ60" s="147" t="str">
        <f>IF(Cost!BJ$3=1,$B30,$B44)</f>
        <v>NA</v>
      </c>
      <c r="BK60" s="147" t="str">
        <f>IF(Cost!BK$3=1,$B30,$B44)</f>
        <v>NA</v>
      </c>
      <c r="BL60" s="147" t="str">
        <f>IF(Cost!BL$3=1,$B30,$B44)</f>
        <v>NA</v>
      </c>
      <c r="BM60" s="147" t="str">
        <f>IF(Cost!BM$3=1,$B30,$B44)</f>
        <v>NA</v>
      </c>
      <c r="BN60" s="147" t="str">
        <f>IF(Cost!BN$3=1,$B30,$B44)</f>
        <v>NA</v>
      </c>
      <c r="BO60" s="147" t="str">
        <f>IF(Cost!BO$3=1,$B30,$B44)</f>
        <v>NA</v>
      </c>
      <c r="BP60" s="147" t="str">
        <f>IF(Cost!BP$3=1,$B30,$B44)</f>
        <v>NA</v>
      </c>
      <c r="BQ60" s="147" t="str">
        <f>IF(Cost!BQ$3=1,$B30,$B44)</f>
        <v>NA</v>
      </c>
      <c r="BR60" s="147" t="str">
        <f>IF(Cost!BR$3=1,$B30,$B44)</f>
        <v>NA</v>
      </c>
      <c r="BS60" s="147" t="str">
        <f>IF(Cost!BS$3=1,$B30,$B44)</f>
        <v>NA</v>
      </c>
      <c r="BT60" s="147" t="str">
        <f>IF(Cost!BT$3=1,$B30,$B44)</f>
        <v>NA</v>
      </c>
      <c r="BU60" s="147" t="str">
        <f>IF(Cost!BU$3=1,$B30,$B44)</f>
        <v>NA</v>
      </c>
      <c r="BV60" s="147" t="str">
        <f>IF(Cost!BV$3=1,$B30,$B44)</f>
        <v>NA</v>
      </c>
      <c r="BW60" s="147" t="str">
        <f>IF(Cost!BW$3=1,$B30,$B44)</f>
        <v>NA</v>
      </c>
      <c r="BX60" s="147" t="str">
        <f>IF(Cost!BX$3=1,$B30,$B44)</f>
        <v>NA</v>
      </c>
      <c r="BY60" s="147" t="str">
        <f>IF(Cost!BY$3=1,$B30,$B44)</f>
        <v>NA</v>
      </c>
      <c r="BZ60" s="147" t="str">
        <f>IF(Cost!BZ$3=1,$B30,$B44)</f>
        <v>NA</v>
      </c>
      <c r="CA60" s="147" t="str">
        <f>IF(Cost!CA$3=1,$B30,$B44)</f>
        <v>NA</v>
      </c>
      <c r="CB60" s="147" t="str">
        <f>IF(Cost!CB$3=1,$B30,$B44)</f>
        <v>NA</v>
      </c>
      <c r="CC60" s="147" t="str">
        <f>IF(Cost!CC$3=1,$B30,$B44)</f>
        <v>NA</v>
      </c>
      <c r="CD60" s="147" t="str">
        <f>IF(Cost!CD$3=1,$B30,$B44)</f>
        <v>NA</v>
      </c>
      <c r="CE60" s="147" t="str">
        <f>IF(Cost!CE$3=1,$B30,$B44)</f>
        <v>NA</v>
      </c>
      <c r="CF60" s="147" t="str">
        <f>IF(Cost!CF$3=1,$B30,$B44)</f>
        <v>NA</v>
      </c>
      <c r="CG60" s="147" t="str">
        <f>IF(Cost!CG$3=1,$B30,$B44)</f>
        <v>NA</v>
      </c>
      <c r="CH60" s="147" t="str">
        <f>IF(Cost!CH$3=1,$B30,$B44)</f>
        <v>NA</v>
      </c>
      <c r="CI60" s="147" t="str">
        <f>IF(Cost!CI$3=1,$B30,$B44)</f>
        <v>NA</v>
      </c>
      <c r="CJ60" s="147" t="str">
        <f>IF(Cost!CJ$3=1,$B30,$B44)</f>
        <v>NA</v>
      </c>
      <c r="CK60" s="147" t="str">
        <f>IF(Cost!CK$3=1,$B30,$B44)</f>
        <v>NA</v>
      </c>
      <c r="CL60" s="147" t="str">
        <f>IF(Cost!CL$3=1,$B30,$B44)</f>
        <v>NA</v>
      </c>
      <c r="CM60" s="147" t="str">
        <f>IF(Cost!CM$3=1,$B30,$B44)</f>
        <v>NA</v>
      </c>
      <c r="CN60" s="147" t="str">
        <f>IF(Cost!CN$3=1,$B30,$B44)</f>
        <v>NA</v>
      </c>
      <c r="CO60" s="147" t="str">
        <f>IF(Cost!CO$3=1,$B30,$B44)</f>
        <v>NA</v>
      </c>
      <c r="CP60" s="147" t="str">
        <f>IF(Cost!CP$3=1,$B30,$B44)</f>
        <v>NA</v>
      </c>
      <c r="CQ60" s="147" t="str">
        <f>IF(Cost!CQ$3=1,$B30,$B44)</f>
        <v>NA</v>
      </c>
      <c r="CR60" s="147" t="str">
        <f>IF(Cost!CR$3=1,$B30,$B44)</f>
        <v>NA</v>
      </c>
      <c r="CS60" s="147" t="str">
        <f>IF(Cost!CS$3=1,$B30,$B44)</f>
        <v>NA</v>
      </c>
      <c r="CT60" s="147" t="str">
        <f>IF(Cost!CT$3=1,$B30,$B44)</f>
        <v>NA</v>
      </c>
      <c r="CU60" s="147" t="str">
        <f>IF(Cost!CU$3=1,$B30,$B44)</f>
        <v>NA</v>
      </c>
      <c r="CV60" s="147" t="str">
        <f>IF(Cost!CV$3=1,$B30,$B44)</f>
        <v>NA</v>
      </c>
      <c r="CW60" s="147" t="str">
        <f>IF(Cost!CW$3=1,$B30,$B44)</f>
        <v>NA</v>
      </c>
      <c r="CX60" s="147">
        <f>IF(Cost!CX$3=1,$B30,$B44)</f>
        <v>72</v>
      </c>
      <c r="CY60" s="147">
        <f>IF(Cost!CY$3=1,$B30,$B44)</f>
        <v>72</v>
      </c>
      <c r="CZ60" s="147">
        <f>IF(Cost!CZ$3=1,$B30,$B44)</f>
        <v>72</v>
      </c>
    </row>
    <row r="61" spans="1:104" ht="12.75">
      <c r="A61" s="142">
        <v>13</v>
      </c>
      <c r="B61" s="147" t="str">
        <f>IF(Cost!$B$3=1,$B31,$B45)</f>
        <v>NA</v>
      </c>
      <c r="C61" s="147" t="str">
        <f>IF(Cost!$C$3=1,$B31,$B45)</f>
        <v>NA</v>
      </c>
      <c r="D61" s="147" t="str">
        <f>IF(Cost!$D$3=1,$B31,$B45)</f>
        <v>NA</v>
      </c>
      <c r="E61" s="147" t="str">
        <f>IF(Cost!$E$3=1,$B31,$B45)</f>
        <v>NA</v>
      </c>
      <c r="F61" s="147" t="str">
        <f>IF(Cost!$F$3=1,$B31,$B45)</f>
        <v>NA</v>
      </c>
      <c r="G61" s="147" t="str">
        <f>IF(Cost!$G$3=1,$B31,$B45)</f>
        <v>NA</v>
      </c>
      <c r="H61" s="147" t="str">
        <f>IF(Cost!$H$3=1,$B31,$B45)</f>
        <v>NA</v>
      </c>
      <c r="I61" s="147" t="str">
        <f>IF(Cost!$I$3=1,$B31,$B45)</f>
        <v>NA</v>
      </c>
      <c r="J61" s="147" t="str">
        <f>IF(Cost!$J$3=1,$B31,$B45)</f>
        <v>NA</v>
      </c>
      <c r="K61" s="147" t="str">
        <f>IF(Cost!$K$3=1,$B31,$B45)</f>
        <v>NA</v>
      </c>
      <c r="L61" s="147" t="str">
        <f>IF(Cost!$L$3=1,$B31,$B45)</f>
        <v>NA</v>
      </c>
      <c r="M61" s="147" t="str">
        <f>IF(Cost!$M$3=1,$B31,$B45)</f>
        <v>NA</v>
      </c>
      <c r="N61" s="147" t="str">
        <f>IF(Cost!$N$3=1,$B31,$B45)</f>
        <v>NA</v>
      </c>
      <c r="O61" s="147" t="str">
        <f>IF(Cost!$O$3=1,$B31,$B45)</f>
        <v>NA</v>
      </c>
      <c r="P61" s="147" t="str">
        <f>IF(Cost!$P$3=1,$B31,$B45)</f>
        <v>NA</v>
      </c>
      <c r="Q61" s="147" t="str">
        <f>IF(Cost!$Q$3=1,$B31,$B45)</f>
        <v>NA</v>
      </c>
      <c r="R61" s="147" t="str">
        <f>IF(Cost!$R$3=1,$B31,$B45)</f>
        <v>NA</v>
      </c>
      <c r="S61" s="147" t="str">
        <f>IF(Cost!$S$3=1,$B31,$B45)</f>
        <v>NA</v>
      </c>
      <c r="T61" s="147" t="str">
        <f>IF(Cost!$T$3=1,$B31,$B45)</f>
        <v>NA</v>
      </c>
      <c r="U61" s="147" t="str">
        <f>IF(Cost!U$3=1,$B31,$B45)</f>
        <v>NA</v>
      </c>
      <c r="V61" s="147" t="str">
        <f>IF(Cost!V$3=1,$B31,$B45)</f>
        <v>NA</v>
      </c>
      <c r="W61" s="147" t="str">
        <f>IF(Cost!W$3=1,$B31,$B45)</f>
        <v>NA</v>
      </c>
      <c r="X61" s="147" t="str">
        <f>IF(Cost!X$3=1,$B31,$B45)</f>
        <v>NA</v>
      </c>
      <c r="Y61" s="147" t="str">
        <f>IF(Cost!Y$3=1,$B31,$B45)</f>
        <v>NA</v>
      </c>
      <c r="Z61" s="147" t="str">
        <f>IF(Cost!Z$3=1,$B31,$B45)</f>
        <v>NA</v>
      </c>
      <c r="AA61" s="147" t="str">
        <f>IF(Cost!AA$3=1,$B31,$B45)</f>
        <v>NA</v>
      </c>
      <c r="AB61" s="147" t="str">
        <f>IF(Cost!AB$3=1,$B31,$B45)</f>
        <v>NA</v>
      </c>
      <c r="AC61" s="147" t="str">
        <f>IF(Cost!AC$3=1,$B31,$B45)</f>
        <v>NA</v>
      </c>
      <c r="AD61" s="147" t="str">
        <f>IF(Cost!AD$3=1,$B31,$B45)</f>
        <v>NA</v>
      </c>
      <c r="AE61" s="147" t="str">
        <f>IF(Cost!AE$3=1,$B31,$B45)</f>
        <v>NA</v>
      </c>
      <c r="AF61" s="147" t="str">
        <f>IF(Cost!AF$3=1,$B31,$B45)</f>
        <v>NA</v>
      </c>
      <c r="AG61" s="147" t="str">
        <f>IF(Cost!AG$3=1,$B31,$B45)</f>
        <v>NA</v>
      </c>
      <c r="AH61" s="147" t="str">
        <f>IF(Cost!AH$3=1,$B31,$B45)</f>
        <v>NA</v>
      </c>
      <c r="AI61" s="147" t="str">
        <f>IF(Cost!AI$3=1,$B31,$B45)</f>
        <v>NA</v>
      </c>
      <c r="AJ61" s="147" t="str">
        <f>IF(Cost!AJ$3=1,$B31,$B45)</f>
        <v>NA</v>
      </c>
      <c r="AK61" s="147" t="str">
        <f>IF(Cost!AK$3=1,$B31,$B45)</f>
        <v>NA</v>
      </c>
      <c r="AL61" s="147" t="str">
        <f>IF(Cost!AL$3=1,$B31,$B45)</f>
        <v>NA</v>
      </c>
      <c r="AM61" s="147" t="str">
        <f>IF(Cost!AM$3=1,$B31,$B45)</f>
        <v>NA</v>
      </c>
      <c r="AN61" s="147" t="str">
        <f>IF(Cost!AN$3=1,$B31,$B45)</f>
        <v>NA</v>
      </c>
      <c r="AO61" s="147" t="str">
        <f>IF(Cost!AO$3=1,$B31,$B45)</f>
        <v>NA</v>
      </c>
      <c r="AP61" s="147" t="str">
        <f>IF(Cost!AP$3=1,$B31,$B45)</f>
        <v>NA</v>
      </c>
      <c r="AQ61" s="147" t="str">
        <f>IF(Cost!AQ$3=1,$B31,$B45)</f>
        <v>NA</v>
      </c>
      <c r="AR61" s="147" t="str">
        <f>IF(Cost!AR$3=1,$B31,$B45)</f>
        <v>NA</v>
      </c>
      <c r="AS61" s="147" t="str">
        <f>IF(Cost!AS$3=1,$B31,$B45)</f>
        <v>NA</v>
      </c>
      <c r="AT61" s="147" t="str">
        <f>IF(Cost!AT$3=1,$B31,$B45)</f>
        <v>NA</v>
      </c>
      <c r="AU61" s="147" t="str">
        <f>IF(Cost!AU$3=1,$B31,$B45)</f>
        <v>NA</v>
      </c>
      <c r="AV61" s="147" t="str">
        <f>IF(Cost!AV$3=1,$B31,$B45)</f>
        <v>NA</v>
      </c>
      <c r="AW61" s="147" t="str">
        <f>IF(Cost!AW$3=1,$B31,$B45)</f>
        <v>NA</v>
      </c>
      <c r="AX61" s="147" t="str">
        <f>IF(Cost!AX$3=1,$B31,$B45)</f>
        <v>NA</v>
      </c>
      <c r="AY61" s="147" t="str">
        <f>IF(Cost!AY$3=1,$B31,$B45)</f>
        <v>NA</v>
      </c>
      <c r="AZ61" s="147" t="str">
        <f>IF(Cost!AZ$3=1,$B31,$B45)</f>
        <v>NA</v>
      </c>
      <c r="BA61" s="147" t="str">
        <f>IF(Cost!BA$3=1,$B31,$B45)</f>
        <v>NA</v>
      </c>
      <c r="BB61" s="147" t="str">
        <f>IF(Cost!BB$3=1,$B31,$B45)</f>
        <v>NA</v>
      </c>
      <c r="BC61" s="147" t="str">
        <f>IF(Cost!BC$3=1,$B31,$B45)</f>
        <v>NA</v>
      </c>
      <c r="BD61" s="147" t="str">
        <f>IF(Cost!BD$3=1,$B31,$B45)</f>
        <v>NA</v>
      </c>
      <c r="BE61" s="147" t="str">
        <f>IF(Cost!BE$3=1,$B31,$B45)</f>
        <v>NA</v>
      </c>
      <c r="BF61" s="147" t="str">
        <f>IF(Cost!BF$3=1,$B31,$B45)</f>
        <v>NA</v>
      </c>
      <c r="BG61" s="147" t="str">
        <f>IF(Cost!BG$3=1,$B31,$B45)</f>
        <v>NA</v>
      </c>
      <c r="BH61" s="147" t="str">
        <f>IF(Cost!BH$3=1,$B31,$B45)</f>
        <v>NA</v>
      </c>
      <c r="BI61" s="147" t="str">
        <f>IF(Cost!BI$3=1,$B31,$B45)</f>
        <v>NA</v>
      </c>
      <c r="BJ61" s="147" t="str">
        <f>IF(Cost!BJ$3=1,$B31,$B45)</f>
        <v>NA</v>
      </c>
      <c r="BK61" s="147" t="str">
        <f>IF(Cost!BK$3=1,$B31,$B45)</f>
        <v>NA</v>
      </c>
      <c r="BL61" s="147" t="str">
        <f>IF(Cost!BL$3=1,$B31,$B45)</f>
        <v>NA</v>
      </c>
      <c r="BM61" s="147" t="str">
        <f>IF(Cost!BM$3=1,$B31,$B45)</f>
        <v>NA</v>
      </c>
      <c r="BN61" s="147" t="str">
        <f>IF(Cost!BN$3=1,$B31,$B45)</f>
        <v>NA</v>
      </c>
      <c r="BO61" s="147" t="str">
        <f>IF(Cost!BO$3=1,$B31,$B45)</f>
        <v>NA</v>
      </c>
      <c r="BP61" s="147" t="str">
        <f>IF(Cost!BP$3=1,$B31,$B45)</f>
        <v>NA</v>
      </c>
      <c r="BQ61" s="147" t="str">
        <f>IF(Cost!BQ$3=1,$B31,$B45)</f>
        <v>NA</v>
      </c>
      <c r="BR61" s="147" t="str">
        <f>IF(Cost!BR$3=1,$B31,$B45)</f>
        <v>NA</v>
      </c>
      <c r="BS61" s="147" t="str">
        <f>IF(Cost!BS$3=1,$B31,$B45)</f>
        <v>NA</v>
      </c>
      <c r="BT61" s="147" t="str">
        <f>IF(Cost!BT$3=1,$B31,$B45)</f>
        <v>NA</v>
      </c>
      <c r="BU61" s="147" t="str">
        <f>IF(Cost!BU$3=1,$B31,$B45)</f>
        <v>NA</v>
      </c>
      <c r="BV61" s="147" t="str">
        <f>IF(Cost!BV$3=1,$B31,$B45)</f>
        <v>NA</v>
      </c>
      <c r="BW61" s="147" t="str">
        <f>IF(Cost!BW$3=1,$B31,$B45)</f>
        <v>NA</v>
      </c>
      <c r="BX61" s="147" t="str">
        <f>IF(Cost!BX$3=1,$B31,$B45)</f>
        <v>NA</v>
      </c>
      <c r="BY61" s="147" t="str">
        <f>IF(Cost!BY$3=1,$B31,$B45)</f>
        <v>NA</v>
      </c>
      <c r="BZ61" s="147" t="str">
        <f>IF(Cost!BZ$3=1,$B31,$B45)</f>
        <v>NA</v>
      </c>
      <c r="CA61" s="147" t="str">
        <f>IF(Cost!CA$3=1,$B31,$B45)</f>
        <v>NA</v>
      </c>
      <c r="CB61" s="147" t="str">
        <f>IF(Cost!CB$3=1,$B31,$B45)</f>
        <v>NA</v>
      </c>
      <c r="CC61" s="147" t="str">
        <f>IF(Cost!CC$3=1,$B31,$B45)</f>
        <v>NA</v>
      </c>
      <c r="CD61" s="147" t="str">
        <f>IF(Cost!CD$3=1,$B31,$B45)</f>
        <v>NA</v>
      </c>
      <c r="CE61" s="147" t="str">
        <f>IF(Cost!CE$3=1,$B31,$B45)</f>
        <v>NA</v>
      </c>
      <c r="CF61" s="147" t="str">
        <f>IF(Cost!CF$3=1,$B31,$B45)</f>
        <v>NA</v>
      </c>
      <c r="CG61" s="147" t="str">
        <f>IF(Cost!CG$3=1,$B31,$B45)</f>
        <v>NA</v>
      </c>
      <c r="CH61" s="147" t="str">
        <f>IF(Cost!CH$3=1,$B31,$B45)</f>
        <v>NA</v>
      </c>
      <c r="CI61" s="147" t="str">
        <f>IF(Cost!CI$3=1,$B31,$B45)</f>
        <v>NA</v>
      </c>
      <c r="CJ61" s="147" t="str">
        <f>IF(Cost!CJ$3=1,$B31,$B45)</f>
        <v>NA</v>
      </c>
      <c r="CK61" s="147" t="str">
        <f>IF(Cost!CK$3=1,$B31,$B45)</f>
        <v>NA</v>
      </c>
      <c r="CL61" s="147" t="str">
        <f>IF(Cost!CL$3=1,$B31,$B45)</f>
        <v>NA</v>
      </c>
      <c r="CM61" s="147" t="str">
        <f>IF(Cost!CM$3=1,$B31,$B45)</f>
        <v>NA</v>
      </c>
      <c r="CN61" s="147" t="str">
        <f>IF(Cost!CN$3=1,$B31,$B45)</f>
        <v>NA</v>
      </c>
      <c r="CO61" s="147" t="str">
        <f>IF(Cost!CO$3=1,$B31,$B45)</f>
        <v>NA</v>
      </c>
      <c r="CP61" s="147" t="str">
        <f>IF(Cost!CP$3=1,$B31,$B45)</f>
        <v>NA</v>
      </c>
      <c r="CQ61" s="147" t="str">
        <f>IF(Cost!CQ$3=1,$B31,$B45)</f>
        <v>NA</v>
      </c>
      <c r="CR61" s="147" t="str">
        <f>IF(Cost!CR$3=1,$B31,$B45)</f>
        <v>NA</v>
      </c>
      <c r="CS61" s="147" t="str">
        <f>IF(Cost!CS$3=1,$B31,$B45)</f>
        <v>NA</v>
      </c>
      <c r="CT61" s="147" t="str">
        <f>IF(Cost!CT$3=1,$B31,$B45)</f>
        <v>NA</v>
      </c>
      <c r="CU61" s="147" t="str">
        <f>IF(Cost!CU$3=1,$B31,$B45)</f>
        <v>NA</v>
      </c>
      <c r="CV61" s="147" t="str">
        <f>IF(Cost!CV$3=1,$B31,$B45)</f>
        <v>NA</v>
      </c>
      <c r="CW61" s="147" t="str">
        <f>IF(Cost!CW$3=1,$B31,$B45)</f>
        <v>NA</v>
      </c>
      <c r="CX61" s="147">
        <f>IF(Cost!CX$3=1,$B31,$B45)</f>
        <v>84</v>
      </c>
      <c r="CY61" s="147">
        <f>IF(Cost!CY$3=1,$B31,$B45)</f>
        <v>84</v>
      </c>
      <c r="CZ61" s="147">
        <f>IF(Cost!CZ$3=1,$B31,$B45)</f>
        <v>84</v>
      </c>
    </row>
    <row r="62" spans="1:104" ht="12.75">
      <c r="A62" s="142">
        <v>14</v>
      </c>
      <c r="B62" s="147" t="str">
        <f>IF(Cost!$B$3=1,$B32,$B46)</f>
        <v>NA</v>
      </c>
      <c r="C62" s="147" t="str">
        <f>IF(Cost!$C$3=1,$B32,$B46)</f>
        <v>NA</v>
      </c>
      <c r="D62" s="147" t="str">
        <f>IF(Cost!$D$3=1,$B32,$B46)</f>
        <v>NA</v>
      </c>
      <c r="E62" s="147" t="str">
        <f>IF(Cost!$E$3=1,$B32,$B46)</f>
        <v>NA</v>
      </c>
      <c r="F62" s="147" t="str">
        <f>IF(Cost!$F$3=1,$B32,$B46)</f>
        <v>NA</v>
      </c>
      <c r="G62" s="147" t="str">
        <f>IF(Cost!$G$3=1,$B32,$B46)</f>
        <v>NA</v>
      </c>
      <c r="H62" s="147" t="str">
        <f>IF(Cost!$H$3=1,$B32,$B46)</f>
        <v>NA</v>
      </c>
      <c r="I62" s="147" t="str">
        <f>IF(Cost!$I$3=1,$B32,$B46)</f>
        <v>NA</v>
      </c>
      <c r="J62" s="147" t="str">
        <f>IF(Cost!$J$3=1,$B32,$B46)</f>
        <v>NA</v>
      </c>
      <c r="K62" s="147" t="str">
        <f>IF(Cost!$K$3=1,$B32,$B46)</f>
        <v>NA</v>
      </c>
      <c r="L62" s="147" t="str">
        <f>IF(Cost!$L$3=1,$B32,$B46)</f>
        <v>NA</v>
      </c>
      <c r="M62" s="147" t="str">
        <f>IF(Cost!$M$3=1,$B32,$B46)</f>
        <v>NA</v>
      </c>
      <c r="N62" s="147" t="str">
        <f>IF(Cost!$N$3=1,$B32,$B46)</f>
        <v>NA</v>
      </c>
      <c r="O62" s="147" t="str">
        <f>IF(Cost!$O$3=1,$B32,$B46)</f>
        <v>NA</v>
      </c>
      <c r="P62" s="147" t="str">
        <f>IF(Cost!$P$3=1,$B32,$B46)</f>
        <v>NA</v>
      </c>
      <c r="Q62" s="147" t="str">
        <f>IF(Cost!$Q$3=1,$B32,$B46)</f>
        <v>NA</v>
      </c>
      <c r="R62" s="147" t="str">
        <f>IF(Cost!$R$3=1,$B32,$B46)</f>
        <v>NA</v>
      </c>
      <c r="S62" s="147" t="str">
        <f>IF(Cost!$S$3=1,$B32,$B46)</f>
        <v>NA</v>
      </c>
      <c r="T62" s="147" t="str">
        <f>IF(Cost!$T$3=1,$B32,$B46)</f>
        <v>NA</v>
      </c>
      <c r="U62" s="147" t="str">
        <f>IF(Cost!U$3=1,$B32,$B46)</f>
        <v>NA</v>
      </c>
      <c r="V62" s="147" t="str">
        <f>IF(Cost!V$3=1,$B32,$B46)</f>
        <v>NA</v>
      </c>
      <c r="W62" s="147" t="str">
        <f>IF(Cost!W$3=1,$B32,$B46)</f>
        <v>NA</v>
      </c>
      <c r="X62" s="147" t="str">
        <f>IF(Cost!X$3=1,$B32,$B46)</f>
        <v>NA</v>
      </c>
      <c r="Y62" s="147" t="str">
        <f>IF(Cost!Y$3=1,$B32,$B46)</f>
        <v>NA</v>
      </c>
      <c r="Z62" s="147" t="str">
        <f>IF(Cost!Z$3=1,$B32,$B46)</f>
        <v>NA</v>
      </c>
      <c r="AA62" s="147" t="str">
        <f>IF(Cost!AA$3=1,$B32,$B46)</f>
        <v>NA</v>
      </c>
      <c r="AB62" s="147" t="str">
        <f>IF(Cost!AB$3=1,$B32,$B46)</f>
        <v>NA</v>
      </c>
      <c r="AC62" s="147" t="str">
        <f>IF(Cost!AC$3=1,$B32,$B46)</f>
        <v>NA</v>
      </c>
      <c r="AD62" s="147" t="str">
        <f>IF(Cost!AD$3=1,$B32,$B46)</f>
        <v>NA</v>
      </c>
      <c r="AE62" s="147" t="str">
        <f>IF(Cost!AE$3=1,$B32,$B46)</f>
        <v>NA</v>
      </c>
      <c r="AF62" s="147" t="str">
        <f>IF(Cost!AF$3=1,$B32,$B46)</f>
        <v>NA</v>
      </c>
      <c r="AG62" s="147" t="str">
        <f>IF(Cost!AG$3=1,$B32,$B46)</f>
        <v>NA</v>
      </c>
      <c r="AH62" s="147" t="str">
        <f>IF(Cost!AH$3=1,$B32,$B46)</f>
        <v>NA</v>
      </c>
      <c r="AI62" s="147" t="str">
        <f>IF(Cost!AI$3=1,$B32,$B46)</f>
        <v>NA</v>
      </c>
      <c r="AJ62" s="147" t="str">
        <f>IF(Cost!AJ$3=1,$B32,$B46)</f>
        <v>NA</v>
      </c>
      <c r="AK62" s="147" t="str">
        <f>IF(Cost!AK$3=1,$B32,$B46)</f>
        <v>NA</v>
      </c>
      <c r="AL62" s="147" t="str">
        <f>IF(Cost!AL$3=1,$B32,$B46)</f>
        <v>NA</v>
      </c>
      <c r="AM62" s="147" t="str">
        <f>IF(Cost!AM$3=1,$B32,$B46)</f>
        <v>NA</v>
      </c>
      <c r="AN62" s="147" t="str">
        <f>IF(Cost!AN$3=1,$B32,$B46)</f>
        <v>NA</v>
      </c>
      <c r="AO62" s="147" t="str">
        <f>IF(Cost!AO$3=1,$B32,$B46)</f>
        <v>NA</v>
      </c>
      <c r="AP62" s="147" t="str">
        <f>IF(Cost!AP$3=1,$B32,$B46)</f>
        <v>NA</v>
      </c>
      <c r="AQ62" s="147" t="str">
        <f>IF(Cost!AQ$3=1,$B32,$B46)</f>
        <v>NA</v>
      </c>
      <c r="AR62" s="147" t="str">
        <f>IF(Cost!AR$3=1,$B32,$B46)</f>
        <v>NA</v>
      </c>
      <c r="AS62" s="147" t="str">
        <f>IF(Cost!AS$3=1,$B32,$B46)</f>
        <v>NA</v>
      </c>
      <c r="AT62" s="147" t="str">
        <f>IF(Cost!AT$3=1,$B32,$B46)</f>
        <v>NA</v>
      </c>
      <c r="AU62" s="147" t="str">
        <f>IF(Cost!AU$3=1,$B32,$B46)</f>
        <v>NA</v>
      </c>
      <c r="AV62" s="147" t="str">
        <f>IF(Cost!AV$3=1,$B32,$B46)</f>
        <v>NA</v>
      </c>
      <c r="AW62" s="147" t="str">
        <f>IF(Cost!AW$3=1,$B32,$B46)</f>
        <v>NA</v>
      </c>
      <c r="AX62" s="147" t="str">
        <f>IF(Cost!AX$3=1,$B32,$B46)</f>
        <v>NA</v>
      </c>
      <c r="AY62" s="147" t="str">
        <f>IF(Cost!AY$3=1,$B32,$B46)</f>
        <v>NA</v>
      </c>
      <c r="AZ62" s="147" t="str">
        <f>IF(Cost!AZ$3=1,$B32,$B46)</f>
        <v>NA</v>
      </c>
      <c r="BA62" s="147" t="str">
        <f>IF(Cost!BA$3=1,$B32,$B46)</f>
        <v>NA</v>
      </c>
      <c r="BB62" s="147" t="str">
        <f>IF(Cost!BB$3=1,$B32,$B46)</f>
        <v>NA</v>
      </c>
      <c r="BC62" s="147" t="str">
        <f>IF(Cost!BC$3=1,$B32,$B46)</f>
        <v>NA</v>
      </c>
      <c r="BD62" s="147" t="str">
        <f>IF(Cost!BD$3=1,$B32,$B46)</f>
        <v>NA</v>
      </c>
      <c r="BE62" s="147" t="str">
        <f>IF(Cost!BE$3=1,$B32,$B46)</f>
        <v>NA</v>
      </c>
      <c r="BF62" s="147" t="str">
        <f>IF(Cost!BF$3=1,$B32,$B46)</f>
        <v>NA</v>
      </c>
      <c r="BG62" s="147" t="str">
        <f>IF(Cost!BG$3=1,$B32,$B46)</f>
        <v>NA</v>
      </c>
      <c r="BH62" s="147" t="str">
        <f>IF(Cost!BH$3=1,$B32,$B46)</f>
        <v>NA</v>
      </c>
      <c r="BI62" s="147" t="str">
        <f>IF(Cost!BI$3=1,$B32,$B46)</f>
        <v>NA</v>
      </c>
      <c r="BJ62" s="147" t="str">
        <f>IF(Cost!BJ$3=1,$B32,$B46)</f>
        <v>NA</v>
      </c>
      <c r="BK62" s="147" t="str">
        <f>IF(Cost!BK$3=1,$B32,$B46)</f>
        <v>NA</v>
      </c>
      <c r="BL62" s="147" t="str">
        <f>IF(Cost!BL$3=1,$B32,$B46)</f>
        <v>NA</v>
      </c>
      <c r="BM62" s="147" t="str">
        <f>IF(Cost!BM$3=1,$B32,$B46)</f>
        <v>NA</v>
      </c>
      <c r="BN62" s="147" t="str">
        <f>IF(Cost!BN$3=1,$B32,$B46)</f>
        <v>NA</v>
      </c>
      <c r="BO62" s="147" t="str">
        <f>IF(Cost!BO$3=1,$B32,$B46)</f>
        <v>NA</v>
      </c>
      <c r="BP62" s="147" t="str">
        <f>IF(Cost!BP$3=1,$B32,$B46)</f>
        <v>NA</v>
      </c>
      <c r="BQ62" s="147" t="str">
        <f>IF(Cost!BQ$3=1,$B32,$B46)</f>
        <v>NA</v>
      </c>
      <c r="BR62" s="147" t="str">
        <f>IF(Cost!BR$3=1,$B32,$B46)</f>
        <v>NA</v>
      </c>
      <c r="BS62" s="147" t="str">
        <f>IF(Cost!BS$3=1,$B32,$B46)</f>
        <v>NA</v>
      </c>
      <c r="BT62" s="147" t="str">
        <f>IF(Cost!BT$3=1,$B32,$B46)</f>
        <v>NA</v>
      </c>
      <c r="BU62" s="147" t="str">
        <f>IF(Cost!BU$3=1,$B32,$B46)</f>
        <v>NA</v>
      </c>
      <c r="BV62" s="147" t="str">
        <f>IF(Cost!BV$3=1,$B32,$B46)</f>
        <v>NA</v>
      </c>
      <c r="BW62" s="147" t="str">
        <f>IF(Cost!BW$3=1,$B32,$B46)</f>
        <v>NA</v>
      </c>
      <c r="BX62" s="147" t="str">
        <f>IF(Cost!BX$3=1,$B32,$B46)</f>
        <v>NA</v>
      </c>
      <c r="BY62" s="147" t="str">
        <f>IF(Cost!BY$3=1,$B32,$B46)</f>
        <v>NA</v>
      </c>
      <c r="BZ62" s="147" t="str">
        <f>IF(Cost!BZ$3=1,$B32,$B46)</f>
        <v>NA</v>
      </c>
      <c r="CA62" s="147" t="str">
        <f>IF(Cost!CA$3=1,$B32,$B46)</f>
        <v>NA</v>
      </c>
      <c r="CB62" s="147" t="str">
        <f>IF(Cost!CB$3=1,$B32,$B46)</f>
        <v>NA</v>
      </c>
      <c r="CC62" s="147" t="str">
        <f>IF(Cost!CC$3=1,$B32,$B46)</f>
        <v>NA</v>
      </c>
      <c r="CD62" s="147" t="str">
        <f>IF(Cost!CD$3=1,$B32,$B46)</f>
        <v>NA</v>
      </c>
      <c r="CE62" s="147" t="str">
        <f>IF(Cost!CE$3=1,$B32,$B46)</f>
        <v>NA</v>
      </c>
      <c r="CF62" s="147" t="str">
        <f>IF(Cost!CF$3=1,$B32,$B46)</f>
        <v>NA</v>
      </c>
      <c r="CG62" s="147" t="str">
        <f>IF(Cost!CG$3=1,$B32,$B46)</f>
        <v>NA</v>
      </c>
      <c r="CH62" s="147" t="str">
        <f>IF(Cost!CH$3=1,$B32,$B46)</f>
        <v>NA</v>
      </c>
      <c r="CI62" s="147" t="str">
        <f>IF(Cost!CI$3=1,$B32,$B46)</f>
        <v>NA</v>
      </c>
      <c r="CJ62" s="147" t="str">
        <f>IF(Cost!CJ$3=1,$B32,$B46)</f>
        <v>NA</v>
      </c>
      <c r="CK62" s="147" t="str">
        <f>IF(Cost!CK$3=1,$B32,$B46)</f>
        <v>NA</v>
      </c>
      <c r="CL62" s="147" t="str">
        <f>IF(Cost!CL$3=1,$B32,$B46)</f>
        <v>NA</v>
      </c>
      <c r="CM62" s="147" t="str">
        <f>IF(Cost!CM$3=1,$B32,$B46)</f>
        <v>NA</v>
      </c>
      <c r="CN62" s="147" t="str">
        <f>IF(Cost!CN$3=1,$B32,$B46)</f>
        <v>NA</v>
      </c>
      <c r="CO62" s="147" t="str">
        <f>IF(Cost!CO$3=1,$B32,$B46)</f>
        <v>NA</v>
      </c>
      <c r="CP62" s="147" t="str">
        <f>IF(Cost!CP$3=1,$B32,$B46)</f>
        <v>NA</v>
      </c>
      <c r="CQ62" s="147" t="str">
        <f>IF(Cost!CQ$3=1,$B32,$B46)</f>
        <v>NA</v>
      </c>
      <c r="CR62" s="147" t="str">
        <f>IF(Cost!CR$3=1,$B32,$B46)</f>
        <v>NA</v>
      </c>
      <c r="CS62" s="147" t="str">
        <f>IF(Cost!CS$3=1,$B32,$B46)</f>
        <v>NA</v>
      </c>
      <c r="CT62" s="147" t="str">
        <f>IF(Cost!CT$3=1,$B32,$B46)</f>
        <v>NA</v>
      </c>
      <c r="CU62" s="147" t="str">
        <f>IF(Cost!CU$3=1,$B32,$B46)</f>
        <v>NA</v>
      </c>
      <c r="CV62" s="147" t="str">
        <f>IF(Cost!CV$3=1,$B32,$B46)</f>
        <v>NA</v>
      </c>
      <c r="CW62" s="147" t="str">
        <f>IF(Cost!CW$3=1,$B32,$B46)</f>
        <v>NA</v>
      </c>
      <c r="CX62" s="147">
        <f>IF(Cost!CX$3=1,$B32,$B46)</f>
        <v>96</v>
      </c>
      <c r="CY62" s="147">
        <f>IF(Cost!CY$3=1,$B32,$B46)</f>
        <v>96</v>
      </c>
      <c r="CZ62" s="147">
        <f>IF(Cost!CZ$3=1,$B32,$B46)</f>
        <v>96</v>
      </c>
    </row>
    <row r="63" ht="12.75">
      <c r="B63" s="147"/>
    </row>
  </sheetData>
  <sheetProtection password="DEA7" sheet="1" objects="1" scenarios="1" selectLockedCells="1"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25"/>
  <sheetViews>
    <sheetView workbookViewId="0" topLeftCell="A1">
      <selection activeCell="A52" sqref="A52"/>
    </sheetView>
  </sheetViews>
  <sheetFormatPr defaultColWidth="9.140625" defaultRowHeight="12.75"/>
  <cols>
    <col min="1" max="1" width="11.00390625" style="142" bestFit="1" customWidth="1"/>
    <col min="2" max="2" width="9.57421875" style="142" customWidth="1"/>
    <col min="3" max="3" width="43.00390625" style="142" bestFit="1" customWidth="1"/>
    <col min="4" max="4" width="21.00390625" style="142" bestFit="1" customWidth="1"/>
    <col min="5" max="5" width="19.7109375" style="142" bestFit="1" customWidth="1"/>
    <col min="6" max="6" width="10.28125" style="142" bestFit="1" customWidth="1"/>
    <col min="7" max="7" width="19.7109375" style="142" customWidth="1"/>
    <col min="8" max="16384" width="9.140625" style="142" customWidth="1"/>
  </cols>
  <sheetData>
    <row r="1" spans="1:7" ht="12.75">
      <c r="A1" s="231" t="s">
        <v>80</v>
      </c>
      <c r="B1" s="231"/>
      <c r="C1" s="231"/>
      <c r="D1" s="231"/>
      <c r="E1" s="149"/>
      <c r="F1" s="149"/>
      <c r="G1" s="149"/>
    </row>
    <row r="2" spans="1:4" ht="12.75">
      <c r="A2" s="150"/>
      <c r="B2" s="150"/>
      <c r="C2" s="150"/>
      <c r="D2" s="150"/>
    </row>
    <row r="3" spans="1:5" ht="12.75">
      <c r="A3" s="143" t="s">
        <v>81</v>
      </c>
      <c r="B3" s="143"/>
      <c r="C3" s="143" t="s">
        <v>82</v>
      </c>
      <c r="D3" s="143" t="s">
        <v>88</v>
      </c>
      <c r="E3" s="143"/>
    </row>
    <row r="4" spans="1:5" ht="12.75">
      <c r="A4" s="151" t="s">
        <v>83</v>
      </c>
      <c r="B4" s="152">
        <f>4</f>
        <v>4</v>
      </c>
      <c r="C4" s="151" t="s">
        <v>90</v>
      </c>
      <c r="D4" s="152">
        <v>6.3</v>
      </c>
      <c r="E4" s="151"/>
    </row>
    <row r="5" spans="1:5" ht="12.75">
      <c r="A5" s="151"/>
      <c r="B5" s="152"/>
      <c r="C5" s="151" t="s">
        <v>91</v>
      </c>
      <c r="D5" s="152">
        <v>4.85</v>
      </c>
      <c r="E5" s="151"/>
    </row>
    <row r="6" spans="1:5" ht="12.75">
      <c r="A6" s="151"/>
      <c r="B6" s="152"/>
      <c r="C6" s="151" t="s">
        <v>214</v>
      </c>
      <c r="D6" s="152"/>
      <c r="E6" s="151"/>
    </row>
    <row r="7" spans="1:5" ht="12.75">
      <c r="A7" s="151" t="s">
        <v>84</v>
      </c>
      <c r="B7" s="152">
        <f>6</f>
        <v>6</v>
      </c>
      <c r="C7" s="151" t="s">
        <v>91</v>
      </c>
      <c r="D7" s="153">
        <v>4.85</v>
      </c>
      <c r="E7" s="151"/>
    </row>
    <row r="8" spans="1:5" ht="12.75">
      <c r="A8" s="151"/>
      <c r="B8" s="152"/>
      <c r="C8" s="151" t="s">
        <v>92</v>
      </c>
      <c r="D8" s="152">
        <v>4.94</v>
      </c>
      <c r="E8" s="151"/>
    </row>
    <row r="9" spans="1:5" ht="12.75">
      <c r="A9" s="151"/>
      <c r="B9" s="152"/>
      <c r="C9" s="151" t="s">
        <v>93</v>
      </c>
      <c r="D9" s="152">
        <v>4.27</v>
      </c>
      <c r="E9" s="151"/>
    </row>
    <row r="10" spans="1:5" ht="12.75">
      <c r="A10" s="151" t="s">
        <v>85</v>
      </c>
      <c r="B10" s="152">
        <f>10</f>
        <v>10</v>
      </c>
      <c r="C10" s="151" t="s">
        <v>97</v>
      </c>
      <c r="D10" s="152">
        <v>5.7</v>
      </c>
      <c r="E10" s="151"/>
    </row>
    <row r="11" spans="1:5" ht="12.75">
      <c r="A11" s="151"/>
      <c r="B11" s="152"/>
      <c r="C11" s="151" t="s">
        <v>94</v>
      </c>
      <c r="D11" s="152">
        <v>3.32</v>
      </c>
      <c r="E11" s="151"/>
    </row>
    <row r="12" spans="1:5" ht="12.75">
      <c r="A12" s="151"/>
      <c r="B12" s="152"/>
      <c r="C12" s="151" t="s">
        <v>95</v>
      </c>
      <c r="D12" s="152">
        <v>2.59</v>
      </c>
      <c r="E12" s="151"/>
    </row>
    <row r="13" spans="1:5" ht="12.75">
      <c r="A13" s="151" t="s">
        <v>86</v>
      </c>
      <c r="B13" s="152">
        <f>14</f>
        <v>14</v>
      </c>
      <c r="C13" s="151" t="s">
        <v>93</v>
      </c>
      <c r="D13" s="152">
        <v>6.4</v>
      </c>
      <c r="E13" s="151"/>
    </row>
    <row r="14" spans="1:5" ht="12.75">
      <c r="A14" s="151"/>
      <c r="B14" s="152"/>
      <c r="C14" s="151" t="s">
        <v>94</v>
      </c>
      <c r="D14" s="152">
        <v>3.69</v>
      </c>
      <c r="E14" s="151"/>
    </row>
    <row r="15" spans="1:5" ht="12.75">
      <c r="A15" s="151"/>
      <c r="B15" s="152"/>
      <c r="C15" s="151" t="s">
        <v>95</v>
      </c>
      <c r="D15" s="152">
        <v>2.87</v>
      </c>
      <c r="E15" s="151"/>
    </row>
    <row r="16" spans="1:5" ht="12.75">
      <c r="A16" s="151" t="s">
        <v>87</v>
      </c>
      <c r="B16" s="152">
        <f>20</f>
        <v>20</v>
      </c>
      <c r="C16" s="151" t="s">
        <v>94</v>
      </c>
      <c r="D16" s="152">
        <v>4.15</v>
      </c>
      <c r="E16" s="151"/>
    </row>
    <row r="17" spans="1:5" ht="12.75">
      <c r="A17" s="151"/>
      <c r="B17" s="151"/>
      <c r="C17" s="151" t="s">
        <v>95</v>
      </c>
      <c r="D17" s="152">
        <v>3.23</v>
      </c>
      <c r="E17" s="151"/>
    </row>
    <row r="18" spans="1:5" ht="12.75">
      <c r="A18" s="151"/>
      <c r="B18" s="151"/>
      <c r="C18" s="151" t="s">
        <v>96</v>
      </c>
      <c r="D18" s="152">
        <v>2.67</v>
      </c>
      <c r="E18" s="151"/>
    </row>
    <row r="21" spans="3:4" ht="12.75">
      <c r="C21" s="154"/>
      <c r="D21" s="154"/>
    </row>
    <row r="22" spans="3:4" ht="12.75">
      <c r="C22" s="154"/>
      <c r="D22" s="154"/>
    </row>
    <row r="23" spans="3:4" ht="12.75">
      <c r="C23" s="155"/>
      <c r="D23" s="155"/>
    </row>
    <row r="24" spans="3:4" ht="12.75">
      <c r="C24" s="155"/>
      <c r="D24" s="155"/>
    </row>
    <row r="25" spans="1:4" ht="12.75">
      <c r="A25" s="142" t="s">
        <v>99</v>
      </c>
      <c r="B25" s="156">
        <f>+Cost!B$10</f>
        <v>0.6666666666666666</v>
      </c>
      <c r="C25" s="142" t="str">
        <f>+IF(B25&lt;=$B$4,$C$4,IF(B25&lt;=$B$7,$C$7,IF(B25&lt;=$B$10,$C$10,IF(B25&lt;=$B$13,$C$13,$C$16))))</f>
        <v>3/8 CY tractor loader/backhoe</v>
      </c>
      <c r="D25" s="147">
        <f>IF($B$25&lt;=$B$4,D4,IF($B$25&lt;=$B$7,D7,IF($B$25&lt;=$B$10,D10,IF($B$25&lt;=$B$13,D13,D16))))</f>
        <v>6.3</v>
      </c>
    </row>
    <row r="26" spans="2:4" ht="12.75">
      <c r="B26" s="147"/>
      <c r="C26" s="142" t="str">
        <f>+IF(B25&lt;=$B$4,$C$5,IF(B25&lt;=$B$7,$C$8,IF(B25&lt;=$B$10,$C$11,IF(B26&lt;=$B$13,$C$14,$C$17))))</f>
        <v>1/2 CY tractor loader/backhoe</v>
      </c>
      <c r="D26" s="147">
        <f>+IF($B$25&lt;=$B$4,D5,IF($B$25&lt;=$B$7,D8,IF($B$25&lt;=$B$10,D11,IF($B$25&lt;=$B$13,D14,D17))))</f>
        <v>4.85</v>
      </c>
    </row>
    <row r="27" spans="2:4" ht="12.75">
      <c r="B27" s="147"/>
      <c r="C27" s="142" t="str">
        <f>+IF(B25&lt;=$B$4,$C$6,IF(B25&lt;=$B$7,$C$9,IF(B25&lt;=$B$10,$C$12,IF(B25&lt;=$B$13,$C$15,$C$18))))</f>
        <v>-NA-</v>
      </c>
      <c r="D27" s="147">
        <f>+IF($B$25&lt;=$B$4,D6,IF($B$25&lt;=$B$7,D9,IF($B$25&lt;=$B$10,D12,IF($B$25&lt;=$B$13,D15,D18))))</f>
        <v>0</v>
      </c>
    </row>
    <row r="28" spans="1:4" ht="12.75">
      <c r="A28" s="142" t="s">
        <v>100</v>
      </c>
      <c r="B28" s="156">
        <f>+Cost!C$10</f>
        <v>0.6666666666666666</v>
      </c>
      <c r="C28" s="142" t="str">
        <f>+IF(B28&lt;=$B$4,$C$4,IF(B28&lt;=$B$7,$C$7,IF(B28&lt;=$B$10,$C$10,IF(B28&lt;=$B$13,$C$13,$C$16))))</f>
        <v>3/8 CY tractor loader/backhoe</v>
      </c>
      <c r="D28" s="147">
        <f>+IF($B$28&lt;=$B$4,D4,IF($B$28&lt;=$B$7,D7,IF($B$28&lt;=$B$10,D10,IF($B$28&lt;=$B$13,D13,D16))))</f>
        <v>6.3</v>
      </c>
    </row>
    <row r="29" spans="2:4" ht="12.75">
      <c r="B29" s="147"/>
      <c r="C29" s="142" t="str">
        <f>+IF(B28&lt;=$B$4,$C$5,IF(B28&lt;=$B$7,$C$8,IF(B28&lt;=$B$10,$C$11,IF(B29&lt;=$B$13,$C$14,$C$17))))</f>
        <v>1/2 CY tractor loader/backhoe</v>
      </c>
      <c r="D29" s="147">
        <f>+IF($B$28&lt;=$B$4,D5,IF($B$28&lt;=$B$7,D8,IF($B$28&lt;=$B$10,D11,IF($B$28&lt;=$B$13,D14,D17))))</f>
        <v>4.85</v>
      </c>
    </row>
    <row r="30" spans="2:4" ht="12.75">
      <c r="B30" s="147"/>
      <c r="C30" s="142" t="str">
        <f>+IF(B28&lt;=$B$4,$C$6,IF(B28&lt;=$B$7,$C$9,IF(B28&lt;=$B$10,$C$12,IF(B28&lt;=$B$13,$C$15,$C$18))))</f>
        <v>-NA-</v>
      </c>
      <c r="D30" s="147">
        <f>+IF($B$28&lt;=$B$4,D6,IF($B$28&lt;=$B$7,D9,IF($B$28&lt;=$B$10,D12,IF($B$28&lt;=$B$13,D15,D18))))</f>
        <v>0</v>
      </c>
    </row>
    <row r="31" spans="1:4" ht="12.75">
      <c r="A31" s="142" t="s">
        <v>101</v>
      </c>
      <c r="B31" s="156">
        <f>+Cost!D$10</f>
        <v>0.6666666666666666</v>
      </c>
      <c r="C31" s="142" t="str">
        <f>+IF(B31&lt;=$B$4,$C$4,IF(B31&lt;=$B$7,$C$7,IF(B31&lt;=$B$10,$C$10,IF(B31&lt;=$B$13,$C$13,$C$16))))</f>
        <v>3/8 CY tractor loader/backhoe</v>
      </c>
      <c r="D31" s="147">
        <f>+IF($B$31&lt;=$B$4,D4,IF($B$31&lt;=$B$7,D7,IF($B$31&lt;=$B$10,D10,IF($B$31&lt;=$B$13,D13,D16))))</f>
        <v>6.3</v>
      </c>
    </row>
    <row r="32" spans="2:4" ht="12.75">
      <c r="B32" s="147"/>
      <c r="C32" s="142" t="str">
        <f>+IF(B31&lt;=$B$4,$C$5,IF(B31&lt;=$B$7,$C$8,IF(B31&lt;=$B$10,$C$11,IF(B32&lt;=$B$13,$C$14,$C$17))))</f>
        <v>1/2 CY tractor loader/backhoe</v>
      </c>
      <c r="D32" s="147">
        <f>+IF($B$31&lt;=$B$4,D5,IF($B$31&lt;=$B$7,D8,IF($B$31&lt;=$B$10,D11,IF($B$31&lt;=$B$13,D14,D17))))</f>
        <v>4.85</v>
      </c>
    </row>
    <row r="33" spans="2:4" ht="12.75">
      <c r="B33" s="147"/>
      <c r="C33" s="142" t="str">
        <f>+IF(B31&lt;=$B$4,$C$6,IF(B31&lt;=$B$7,$C$9,IF(B31&lt;=$B$10,$C$12,IF(B31&lt;=$B$13,$C$15,$C$18))))</f>
        <v>-NA-</v>
      </c>
      <c r="D33" s="147">
        <f>+IF($B$31&lt;=$B$4,D6,IF($B$31&lt;=$B$7,D9,IF($B$31&lt;=$B$10,D12,IF($B$31&lt;=$B$13,D15,D18))))</f>
        <v>0</v>
      </c>
    </row>
    <row r="34" spans="1:4" ht="12.75">
      <c r="A34" s="142" t="s">
        <v>102</v>
      </c>
      <c r="B34" s="156">
        <f>+Cost!E$10</f>
        <v>0.6666666666666666</v>
      </c>
      <c r="C34" s="142" t="str">
        <f>+IF(B34&lt;=$B$4,$C$4,IF(B34&lt;=$B$7,$C$7,IF(B34&lt;=$B$10,$C$10,IF(B34&lt;=$B$13,$C$13,$C$16))))</f>
        <v>3/8 CY tractor loader/backhoe</v>
      </c>
      <c r="D34" s="147">
        <f>+IF($B$34&lt;=$B$4,D4,IF($B$34&lt;=$B$7,D7,IF($B$34&lt;=$B$10,D10,IF($B$34&lt;=$B$13,D13,D16))))</f>
        <v>6.3</v>
      </c>
    </row>
    <row r="35" spans="2:4" ht="12.75">
      <c r="B35" s="147"/>
      <c r="C35" s="142" t="str">
        <f>+IF(B34&lt;=$B$4,$C$5,IF(B34&lt;=$B$7,$C$8,IF(B34&lt;=$B$10,$C$11,IF(B35&lt;=$B$13,$C$14,$C$17))))</f>
        <v>1/2 CY tractor loader/backhoe</v>
      </c>
      <c r="D35" s="147">
        <f>+IF($B$34&lt;=$B$4,D5,IF($B$34&lt;=$B$7,D8,IF($B$34&lt;=$B$10,D11,IF($B$34&lt;=$B$13,D14,D17))))</f>
        <v>4.85</v>
      </c>
    </row>
    <row r="36" spans="2:4" ht="12.75">
      <c r="B36" s="147"/>
      <c r="C36" s="142" t="str">
        <f>+IF(B34&lt;=$B$4,$C$6,IF(B34&lt;=$B$7,$C$9,IF(B34&lt;=$B$10,$C$12,IF(B34&lt;=$B$13,$C$15,$C$18))))</f>
        <v>-NA-</v>
      </c>
      <c r="D36" s="147">
        <f>+IF($B$34&lt;=$B$4,D6,IF($B$34&lt;=$B$7,D9,IF($B$34&lt;=$B$10,D12,IF($B$34&lt;=$B$13,D15,D18))))</f>
        <v>0</v>
      </c>
    </row>
    <row r="37" spans="1:4" ht="12.75">
      <c r="A37" s="142" t="s">
        <v>103</v>
      </c>
      <c r="B37" s="156">
        <f>+Cost!F$10</f>
        <v>0.6666666666666666</v>
      </c>
      <c r="C37" s="142" t="str">
        <f>+IF(B37&lt;=$B$4,$C$4,IF(B37&lt;=$B$7,$C$7,IF(B37&lt;=$B$10,$C$10,IF(B37&lt;=$B$13,$C$13,$C$16))))</f>
        <v>3/8 CY tractor loader/backhoe</v>
      </c>
      <c r="D37" s="147">
        <f>+IF($B$37&lt;=$B$4,D4,IF($B$37&lt;=$B$7,D7,IF($B$37&lt;=$B$10,D10,IF($B$37&lt;=$B$13,D13,D16))))</f>
        <v>6.3</v>
      </c>
    </row>
    <row r="38" spans="2:4" ht="12.75">
      <c r="B38" s="147"/>
      <c r="C38" s="142" t="str">
        <f>+IF(B37&lt;=$B$4,$C$5,IF(B37&lt;=$B$7,$C$8,IF(B37&lt;=$B$10,$C$11,IF(B38&lt;=$B$13,$C$14,$C$17))))</f>
        <v>1/2 CY tractor loader/backhoe</v>
      </c>
      <c r="D38" s="147">
        <f>+IF($B$37&lt;=$B$4,D5,IF($B$37&lt;=$B$7,D8,IF($B$37&lt;=$B$10,D11,IF($B$37&lt;=$B$13,D14,D17))))</f>
        <v>4.85</v>
      </c>
    </row>
    <row r="39" spans="2:4" ht="12.75">
      <c r="B39" s="147"/>
      <c r="C39" s="142" t="str">
        <f>+IF(B37&lt;=$B$4,$C$6,IF(B37&lt;=$B$7,$C$9,IF(B37&lt;=$B$10,$C$12,IF(B37&lt;=$B$13,$C$15,$C$18))))</f>
        <v>-NA-</v>
      </c>
      <c r="D39" s="147">
        <f>+IF($B$37&lt;=$B$4,D6,IF($B$37&lt;=$B$7,D9,IF($B$37&lt;=$B$10,D12,IF($B$37&lt;=$B$13,D15,D18))))</f>
        <v>0</v>
      </c>
    </row>
    <row r="40" spans="1:4" ht="12.75">
      <c r="A40" s="142" t="s">
        <v>104</v>
      </c>
      <c r="B40" s="156">
        <f>+Cost!G$10</f>
        <v>0.6666666666666666</v>
      </c>
      <c r="C40" s="142" t="str">
        <f>+IF(B40&lt;=$B$4,$C$4,IF(B40&lt;=$B$7,$C$7,IF(B40&lt;=$B$10,$C$10,IF(B40&lt;=$B$13,$C$13,$C$16))))</f>
        <v>3/8 CY tractor loader/backhoe</v>
      </c>
      <c r="D40" s="147">
        <f>+IF($B$40&lt;=$B$4,D4,IF($B$40&lt;=$B$7,D7,IF($B$40&lt;=$B$10,D10,IF($B$40&lt;=$B$13,D13,D16))))</f>
        <v>6.3</v>
      </c>
    </row>
    <row r="41" spans="2:4" ht="12.75">
      <c r="B41" s="147"/>
      <c r="C41" s="142" t="str">
        <f>+IF(B40&lt;=$B$4,$C$5,IF(B40&lt;=$B$7,$C$8,IF(B40&lt;=$B$10,$C$11,IF(B41&lt;=$B$13,$C$14,$C$17))))</f>
        <v>1/2 CY tractor loader/backhoe</v>
      </c>
      <c r="D41" s="147">
        <f>+IF($B$40&lt;=$B$4,D5,IF($B$40&lt;=$B$7,D8,IF($B$40&lt;=$B$10,D11,IF($B$40&lt;=$B$13,D14,D17))))</f>
        <v>4.85</v>
      </c>
    </row>
    <row r="42" spans="2:4" ht="12.75">
      <c r="B42" s="147"/>
      <c r="C42" s="142" t="str">
        <f>+IF(B40&lt;=$B$4,$C$6,IF(B40&lt;=$B$7,$C$9,IF(B40&lt;=$B$10,$C$12,IF(B40&lt;=$B$13,$C$15,$C$18))))</f>
        <v>-NA-</v>
      </c>
      <c r="D42" s="147">
        <f>+IF($B$40&lt;=$B$4,D6,IF($B$40&lt;=$B$7,D9,IF($B$40&lt;=$B$10,D12,IF($B$40&lt;=$B$13,D15,D18))))</f>
        <v>0</v>
      </c>
    </row>
    <row r="43" spans="1:4" ht="12.75">
      <c r="A43" s="142" t="s">
        <v>105</v>
      </c>
      <c r="B43" s="156">
        <f>+Cost!H$10</f>
        <v>0.6666666666666666</v>
      </c>
      <c r="C43" s="142" t="str">
        <f>+IF(B43&lt;=$B$4,$C$4,IF(B43&lt;=$B$7,$C$7,IF(B43&lt;=$B$10,$C$10,IF(B43&lt;=$B$13,$C$13,$C$16))))</f>
        <v>3/8 CY tractor loader/backhoe</v>
      </c>
      <c r="D43" s="147">
        <f>+IF($B$43&lt;=$B$4,D4,IF($B$43&lt;=$B$7,D7,IF($B$43&lt;=$B$10,D10,IF($B$43&lt;=$B$13,D13,D16))))</f>
        <v>6.3</v>
      </c>
    </row>
    <row r="44" spans="2:4" ht="12.75">
      <c r="B44" s="147"/>
      <c r="C44" s="142" t="str">
        <f>+IF(B43&lt;=$B$4,$C$5,IF(B43&lt;=$B$7,$C$8,IF(B43&lt;=$B$10,$C$11,IF(B44&lt;=$B$13,$C$14,$C$17))))</f>
        <v>1/2 CY tractor loader/backhoe</v>
      </c>
      <c r="D44" s="147">
        <f>+IF($B$43&lt;=$B$4,D5,IF($B$43&lt;=$B$7,D8,IF($B$43&lt;=$B$10,D11,IF($B$43&lt;=$B$13,D14,D17))))</f>
        <v>4.85</v>
      </c>
    </row>
    <row r="45" spans="2:4" ht="12.75">
      <c r="B45" s="147"/>
      <c r="C45" s="142" t="str">
        <f>+IF(B43&lt;=$B$4,$C$6,IF(B43&lt;=$B$7,$C$9,IF(B43&lt;=$B$10,$C$12,IF(B43&lt;=$B$13,$C$15,$C$18))))</f>
        <v>-NA-</v>
      </c>
      <c r="D45" s="147">
        <f>+IF($B$43&lt;=$B$4,D6,IF($B$43&lt;=$B$7,D9,IF($B$43&lt;=$B$10,D12,IF($B$43&lt;=$B$13,D15,D18))))</f>
        <v>0</v>
      </c>
    </row>
    <row r="46" spans="1:4" ht="12.75">
      <c r="A46" s="142" t="s">
        <v>106</v>
      </c>
      <c r="B46" s="156">
        <f>+Cost!I$10</f>
        <v>0.6666666666666666</v>
      </c>
      <c r="C46" s="142" t="str">
        <f>+IF(B46&lt;=$B$4,$C$4,IF(B46&lt;=$B$7,$C$7,IF(B46&lt;=$B$10,$C$10,IF(B46&lt;=$B$13,$C$13,$C$16))))</f>
        <v>3/8 CY tractor loader/backhoe</v>
      </c>
      <c r="D46" s="147">
        <f>+IF($B$46&lt;=$B$4,D4,IF($B$46&lt;=$B$7,D7,IF($B$46&lt;=$B$10,D10,IF($B$46&lt;=$B$13,D13,D16))))</f>
        <v>6.3</v>
      </c>
    </row>
    <row r="47" spans="2:4" ht="12.75">
      <c r="B47" s="147"/>
      <c r="C47" s="142" t="str">
        <f>+IF(B46&lt;=$B$4,$C$5,IF(B46&lt;=$B$7,$C$8,IF(B46&lt;=$B$10,$C$11,IF(B47&lt;=$B$13,$C$14,$C$17))))</f>
        <v>1/2 CY tractor loader/backhoe</v>
      </c>
      <c r="D47" s="147">
        <f>+IF($B$46&lt;=$B$4,D5,IF($B$46&lt;=$B$7,D8,IF($B$46&lt;=$B$10,D11,IF($B$46&lt;=$B$13,D14,D17))))</f>
        <v>4.85</v>
      </c>
    </row>
    <row r="48" spans="2:4" ht="12.75">
      <c r="B48" s="147"/>
      <c r="C48" s="142" t="str">
        <f>+IF(B46&lt;=$B$4,$C$6,IF(B46&lt;=$B$7,$C$9,IF(B46&lt;=$B$10,$C$12,IF(B46&lt;=$B$13,$C$15,$C$18))))</f>
        <v>-NA-</v>
      </c>
      <c r="D48" s="147">
        <f>+IF($B$46&lt;=$B$4,D6,IF($B$46&lt;=$B$7,D9,IF($B$46&lt;=$B$10,D12,IF($B$46&lt;=$B$13,D15,D18))))</f>
        <v>0</v>
      </c>
    </row>
    <row r="49" spans="1:4" ht="12.75">
      <c r="A49" s="142" t="s">
        <v>107</v>
      </c>
      <c r="B49" s="156">
        <f>+Cost!J$10</f>
        <v>0.6666666666666666</v>
      </c>
      <c r="C49" s="142" t="str">
        <f>+IF(B49&lt;=$B$4,$C$4,IF(B49&lt;=$B$7,$C$7,IF(B49&lt;=$B$10,$C$10,IF(B49&lt;=$B$13,$C$13,$C$16))))</f>
        <v>3/8 CY tractor loader/backhoe</v>
      </c>
      <c r="D49" s="147">
        <f>+IF($B$49&lt;=$B$4,D4,IF($B$49&lt;=$B$7,D7,IF($B$49&lt;=$B$10,D10,IF($B$49&lt;=$B$13,D13,D16))))</f>
        <v>6.3</v>
      </c>
    </row>
    <row r="50" spans="2:4" ht="12.75">
      <c r="B50" s="147"/>
      <c r="C50" s="142" t="str">
        <f>+IF(B49&lt;=$B$4,$C$5,IF(B49&lt;=$B$7,$C$8,IF(B49&lt;=$B$10,$C$11,IF(B50&lt;=$B$13,$C$14,$C$17))))</f>
        <v>1/2 CY tractor loader/backhoe</v>
      </c>
      <c r="D50" s="147">
        <f>+IF($B$49&lt;=$B$4,D5,IF($B$49&lt;=$B$7,D8,IF($B$49&lt;=$B$10,D11,IF($B$49&lt;=$B$13,D14,D17))))</f>
        <v>4.85</v>
      </c>
    </row>
    <row r="51" spans="2:4" ht="12.75">
      <c r="B51" s="147"/>
      <c r="C51" s="142" t="str">
        <f>+IF(B49&lt;=$B$4,$C$6,IF(B49&lt;=$B$7,$C$9,IF(B49&lt;=$B$10,$C$12,IF(B49&lt;=$B$13,$C$15,$C$18))))</f>
        <v>-NA-</v>
      </c>
      <c r="D51" s="147">
        <f>+IF($B$49&lt;=$B$4,D6,IF($B$49&lt;=$B$7,D9,IF($B$49&lt;=$B$10,D12,IF($B$49&lt;=$B$13,D15,D18))))</f>
        <v>0</v>
      </c>
    </row>
    <row r="52" spans="1:4" ht="12.75">
      <c r="A52" s="142" t="s">
        <v>108</v>
      </c>
      <c r="B52" s="156">
        <f>+Cost!K$10</f>
        <v>0.6666666666666666</v>
      </c>
      <c r="C52" s="142" t="str">
        <f>+IF(B52&lt;=$B$4,$C$4,IF(B52&lt;=$B$7,$C$7,IF(B52&lt;=$B$10,$C$10,IF(B52&lt;=$B$13,$C$13,$C$16))))</f>
        <v>3/8 CY tractor loader/backhoe</v>
      </c>
      <c r="D52" s="147">
        <f>+IF($B$52&lt;=$B$4,D4,IF($B$52&lt;=$B$7,D7,IF($B$52&lt;=$B$10,D10,IF($B$52&lt;=$B$13,D13,D16))))</f>
        <v>6.3</v>
      </c>
    </row>
    <row r="53" spans="2:4" ht="12.75">
      <c r="B53" s="147"/>
      <c r="C53" s="142" t="str">
        <f>+IF(B52&lt;=$B$4,$C$5,IF(B52&lt;=$B$7,$C$8,IF(B52&lt;=$B$10,$C$11,IF(B53&lt;=$B$13,$C$14,$C$17))))</f>
        <v>1/2 CY tractor loader/backhoe</v>
      </c>
      <c r="D53" s="147">
        <f>+IF($B$52&lt;=$B$4,D5,IF($B$52&lt;=$B$7,D8,IF($B$52&lt;=$B$10,D11,IF($B$52&lt;=$B$13,D14,D17))))</f>
        <v>4.85</v>
      </c>
    </row>
    <row r="54" spans="2:4" ht="12.75">
      <c r="B54" s="147"/>
      <c r="C54" s="142" t="str">
        <f>+IF(B52&lt;=$B$4,$C$6,IF(B52&lt;=$B$7,$C$9,IF(B52&lt;=$B$10,$C$12,IF(B52&lt;=$B$13,$C$15,$C$18))))</f>
        <v>-NA-</v>
      </c>
      <c r="D54" s="147">
        <f>+IF($B$52&lt;=$B$4,D6,IF($B$52&lt;=$B$7,D9,IF($B$52&lt;=$B$10,D12,IF($B$52&lt;=$B$13,D15,D18))))</f>
        <v>0</v>
      </c>
    </row>
    <row r="55" spans="1:4" ht="12.75">
      <c r="A55" s="142" t="s">
        <v>109</v>
      </c>
      <c r="B55" s="156">
        <f>+Cost!L$10</f>
        <v>0.6666666666666666</v>
      </c>
      <c r="C55" s="142" t="str">
        <f>+IF(B55&lt;=$B$4,$C$4,IF(B55&lt;=$B$7,$C$7,IF(B55&lt;=$B$10,$C$10,IF(B55&lt;=$B$13,$C$13,$C$16))))</f>
        <v>3/8 CY tractor loader/backhoe</v>
      </c>
      <c r="D55" s="147">
        <f>+IF($B$55&lt;=$B$4,D4,IF($B$55&lt;=$B$7,D7,IF($B$55&lt;=$B$10,D10,IF($B$55&lt;=$B$13,D13,D16))))</f>
        <v>6.3</v>
      </c>
    </row>
    <row r="56" spans="2:4" ht="12.75">
      <c r="B56" s="147"/>
      <c r="C56" s="142" t="str">
        <f>+IF(B55&lt;=$B$4,$C$5,IF(B55&lt;=$B$7,$C$8,IF(B55&lt;=$B$10,$C$11,IF(B56&lt;=$B$13,$C$14,$C$17))))</f>
        <v>1/2 CY tractor loader/backhoe</v>
      </c>
      <c r="D56" s="147">
        <f>+IF($B$55&lt;=$B$4,D5,IF($B$55&lt;=$B$7,D8,IF($B$55&lt;=$B$10,D11,IF($B$55&lt;=$B$13,D14,D17))))</f>
        <v>4.85</v>
      </c>
    </row>
    <row r="57" spans="2:4" ht="12.75">
      <c r="B57" s="147"/>
      <c r="C57" s="142" t="str">
        <f>+IF(B55&lt;=$B$4,$C$6,IF(B55&lt;=$B$7,$C$9,IF(B55&lt;=$B$10,$C$12,IF(B55&lt;=$B$13,$C$15,$C$18))))</f>
        <v>-NA-</v>
      </c>
      <c r="D57" s="147">
        <f>+IF($B$55&lt;=$B$4,D6,IF($B$55&lt;=$B$7,D9,IF($B$55&lt;=$B$10,D12,IF($B$55&lt;=$B$13,D15,D18))))</f>
        <v>0</v>
      </c>
    </row>
    <row r="58" spans="1:4" ht="12.75">
      <c r="A58" s="142" t="s">
        <v>110</v>
      </c>
      <c r="B58" s="156">
        <f>+Cost!M$10</f>
        <v>0.6666666666666666</v>
      </c>
      <c r="C58" s="142" t="str">
        <f>+IF(B58&lt;=$B$4,$C$4,IF(B58&lt;=$B$7,$C$7,IF(B58&lt;=$B$10,$C$10,IF(B58&lt;=$B$13,$C$13,$C$16))))</f>
        <v>3/8 CY tractor loader/backhoe</v>
      </c>
      <c r="D58" s="147">
        <f>+IF($B$58&lt;=$B$4,D4,IF($B$58&lt;=$B$7,D7,IF($B$58&lt;=$B$10,D10,IF($B$58&lt;=$B$13,D13,D16))))</f>
        <v>6.3</v>
      </c>
    </row>
    <row r="59" spans="2:4" ht="12.75">
      <c r="B59" s="147"/>
      <c r="C59" s="142" t="str">
        <f>+IF(B58&lt;=$B$4,$C$5,IF(B58&lt;=$B$7,$C$8,IF(B58&lt;=$B$10,$C$11,IF(B59&lt;=$B$13,$C$14,$C$17))))</f>
        <v>1/2 CY tractor loader/backhoe</v>
      </c>
      <c r="D59" s="147">
        <f>+IF($B$58&lt;=$B$4,D5,IF($B$58&lt;=$B$7,D8,IF($B$58&lt;=$B$10,D11,IF($B$58&lt;=$B$13,D14,D17))))</f>
        <v>4.85</v>
      </c>
    </row>
    <row r="60" spans="2:4" ht="12.75">
      <c r="B60" s="147"/>
      <c r="C60" s="142" t="str">
        <f>+IF(B58&lt;=$B$4,$C$6,IF(B58&lt;=$B$7,$C$9,IF(B58&lt;=$B$10,$C$12,IF(B58&lt;=$B$13,$C$15,$C$18))))</f>
        <v>-NA-</v>
      </c>
      <c r="D60" s="147">
        <f>+IF($B$58&lt;=$B$4,D6,IF($B$58&lt;=$B$7,D9,IF($B$58&lt;=$B$10,D12,IF($B$58&lt;=$B$13,D15,D18))))</f>
        <v>0</v>
      </c>
    </row>
    <row r="61" spans="1:4" ht="12.75">
      <c r="A61" s="142" t="s">
        <v>111</v>
      </c>
      <c r="B61" s="156">
        <f>+Cost!N$10</f>
        <v>0.6666666666666666</v>
      </c>
      <c r="C61" s="142" t="str">
        <f>+IF(B61&lt;=$B$4,$C$4,IF(B61&lt;=$B$7,$C$7,IF(B61&lt;=$B$10,$C$10,IF(B61&lt;=$B$13,$C$13,$C$16))))</f>
        <v>3/8 CY tractor loader/backhoe</v>
      </c>
      <c r="D61" s="147">
        <f>+IF($B$61&lt;=$B$4,D4,IF($B$61&lt;=$B$7,D7,IF($B$61&lt;=$B$10,D10,IF($B$61&lt;=$B$13,D13,D16))))</f>
        <v>6.3</v>
      </c>
    </row>
    <row r="62" spans="2:4" ht="12.75">
      <c r="B62" s="147"/>
      <c r="C62" s="142" t="str">
        <f>+IF(B61&lt;=$B$4,$C$5,IF(B61&lt;=$B$7,$C$8,IF(B61&lt;=$B$10,$C$11,IF(B62&lt;=$B$13,$C$14,$C$17))))</f>
        <v>1/2 CY tractor loader/backhoe</v>
      </c>
      <c r="D62" s="147">
        <f>+IF($B$61&lt;=$B$4,D5,IF($B$61&lt;=$B$7,D8,IF($B$61&lt;=$B$10,D11,IF($B$61&lt;=$B$13,D14,D17))))</f>
        <v>4.85</v>
      </c>
    </row>
    <row r="63" spans="2:4" ht="12.75">
      <c r="B63" s="147"/>
      <c r="C63" s="142" t="str">
        <f>+IF(B61&lt;=$B$4,$C$6,IF(B61&lt;=$B$7,$C$9,IF(B61&lt;=$B$10,$C$12,IF(B61&lt;=$B$13,$C$15,$C$18))))</f>
        <v>-NA-</v>
      </c>
      <c r="D63" s="147">
        <f>+IF($B$61&lt;=$B$4,D6,IF($B$61&lt;=$B$7,D9,IF($B$61&lt;=$B$10,D12,IF($B$61&lt;=$B$13,D15,D18))))</f>
        <v>0</v>
      </c>
    </row>
    <row r="64" spans="1:4" ht="12.75">
      <c r="A64" s="142" t="s">
        <v>112</v>
      </c>
      <c r="B64" s="156">
        <f>+Cost!O$10</f>
        <v>0.6666666666666666</v>
      </c>
      <c r="C64" s="142" t="str">
        <f>+IF(B64&lt;=$B$4,$C$4,IF(B64&lt;=$B$7,$C$7,IF(B64&lt;=$B$10,$C$10,IF(B64&lt;=$B$13,$C$13,$C$16))))</f>
        <v>3/8 CY tractor loader/backhoe</v>
      </c>
      <c r="D64" s="147">
        <f>+IF($B$64&lt;=$B$4,D4,IF($B$64&lt;=$B$7,D7,IF($B$64&lt;=$B$10,D10,IF($B$64&lt;=$B$13,D13,D16))))</f>
        <v>6.3</v>
      </c>
    </row>
    <row r="65" spans="2:4" ht="12.75">
      <c r="B65" s="147"/>
      <c r="C65" s="142" t="str">
        <f>+IF(B64&lt;=$B$4,$C$5,IF(B64&lt;=$B$7,$C$8,IF(B64&lt;=$B$10,$C$11,IF(B65&lt;=$B$13,$C$14,$C$17))))</f>
        <v>1/2 CY tractor loader/backhoe</v>
      </c>
      <c r="D65" s="147">
        <f>+IF($B$64&lt;=$B$4,D5,IF($B$64&lt;=$B$7,D8,IF($B$64&lt;=$B$10,D11,IF($B$64&lt;=$B$13,D14,D17))))</f>
        <v>4.85</v>
      </c>
    </row>
    <row r="66" spans="2:4" ht="12.75">
      <c r="B66" s="147"/>
      <c r="C66" s="142" t="str">
        <f>+IF(B64&lt;=$B$4,$C$6,IF(B64&lt;=$B$7,$C$9,IF(B64&lt;=$B$10,$C$12,IF(B64&lt;=$B$13,$C$15,$C$18))))</f>
        <v>-NA-</v>
      </c>
      <c r="D66" s="147">
        <f>+IF($B$64&lt;=$B$4,D6,IF($B$64&lt;=$B$7,D9,IF($B$64&lt;=$B$10,D12,IF($B$64&lt;=$B$13,D15,D18))))</f>
        <v>0</v>
      </c>
    </row>
    <row r="67" spans="1:4" ht="12.75">
      <c r="A67" s="142" t="s">
        <v>113</v>
      </c>
      <c r="B67" s="156">
        <f>+Cost!P$10</f>
        <v>0.6666666666666666</v>
      </c>
      <c r="C67" s="142" t="str">
        <f>+IF(B67&lt;=$B$4,$C$4,IF(B67&lt;=$B$7,$C$7,IF(B67&lt;=$B$10,$C$10,IF(B67&lt;=$B$13,$C$13,$C$16))))</f>
        <v>3/8 CY tractor loader/backhoe</v>
      </c>
      <c r="D67" s="147">
        <f>+IF($B$67&lt;=$B$4,D4,IF($B$67&lt;=$B$7,D7,IF($B$67&lt;=$B$10,D10,IF($B$67&lt;=$B$13,D13,D16))))</f>
        <v>6.3</v>
      </c>
    </row>
    <row r="68" spans="2:4" ht="12.75">
      <c r="B68" s="147"/>
      <c r="C68" s="142" t="str">
        <f>+IF(B67&lt;=$B$4,$C$5,IF(B67&lt;=$B$7,$C$8,IF(B67&lt;=$B$10,$C$11,IF(B68&lt;=$B$13,$C$14,$C$17))))</f>
        <v>1/2 CY tractor loader/backhoe</v>
      </c>
      <c r="D68" s="147">
        <f>+IF($B$67&lt;=$B$4,D5,IF($B$67&lt;=$B$7,D8,IF($B$67&lt;=$B$10,D11,IF($B$67&lt;=$B$13,D14,D17))))</f>
        <v>4.85</v>
      </c>
    </row>
    <row r="69" spans="2:4" ht="12.75">
      <c r="B69" s="147"/>
      <c r="C69" s="142" t="str">
        <f>+IF(B67&lt;=$B$4,$C$6,IF(B67&lt;=$B$7,$C$9,IF(B67&lt;=$B$10,$C$12,IF(B67&lt;=$B$13,$C$15,$C$18))))</f>
        <v>-NA-</v>
      </c>
      <c r="D69" s="147">
        <f>+IF($B$67&lt;=$B$4,D6,IF($B$67&lt;=$B$7,D9,IF($B$67&lt;=$B$10,D12,IF($B$67&lt;=$B$13,D15,D18))))</f>
        <v>0</v>
      </c>
    </row>
    <row r="70" spans="1:4" ht="12.75">
      <c r="A70" s="142" t="s">
        <v>114</v>
      </c>
      <c r="B70" s="156">
        <f>+Cost!Q$10</f>
        <v>0.6666666666666666</v>
      </c>
      <c r="C70" s="142" t="str">
        <f>+IF(B70&lt;=$B$4,$C$4,IF(B70&lt;=$B$7,$C$7,IF(B70&lt;=$B$10,$C$10,IF(B70&lt;=$B$13,$C$13,$C$16))))</f>
        <v>3/8 CY tractor loader/backhoe</v>
      </c>
      <c r="D70" s="147">
        <f>+IF($B$70&lt;=$B$4,D4,IF($B$70&lt;=$B$7,D7,IF($B$70&lt;=$B$10,D10,IF($B$70&lt;=$B$13,D13,D16))))</f>
        <v>6.3</v>
      </c>
    </row>
    <row r="71" spans="2:4" ht="12.75">
      <c r="B71" s="147"/>
      <c r="C71" s="142" t="str">
        <f>+IF(B70&lt;=$B$4,$C$5,IF(B70&lt;=$B$7,$C$8,IF(B70&lt;=$B$10,$C$11,IF(B71&lt;=$B$13,$C$14,$C$17))))</f>
        <v>1/2 CY tractor loader/backhoe</v>
      </c>
      <c r="D71" s="147">
        <f>+IF($B$70&lt;=$B$4,D5,IF($B$70&lt;=$B$7,D8,IF($B$70&lt;=$B$10,D11,IF($B$70&lt;=$B$13,D14,D17))))</f>
        <v>4.85</v>
      </c>
    </row>
    <row r="72" spans="2:4" ht="12.75">
      <c r="B72" s="147"/>
      <c r="C72" s="142" t="str">
        <f>+IF(B70&lt;=$B$4,$C$6,IF(B70&lt;=$B$7,$C$9,IF(B70&lt;=$B$10,$C$12,IF(B70&lt;=$B$13,$C$15,$C$18))))</f>
        <v>-NA-</v>
      </c>
      <c r="D72" s="147">
        <f>+IF($B$70&lt;=$B$4,D6,IF($B$70&lt;=$B$7,D9,IF($B$70&lt;=$B$10,D12,IF($B$70&lt;=$B$13,D15,D18))))</f>
        <v>0</v>
      </c>
    </row>
    <row r="73" spans="1:4" ht="12.75">
      <c r="A73" s="142" t="s">
        <v>115</v>
      </c>
      <c r="B73" s="156">
        <f>+Cost!R$10</f>
        <v>0.6666666666666666</v>
      </c>
      <c r="C73" s="142" t="str">
        <f>+IF(B73&lt;=$B$4,$C$4,IF(B73&lt;=$B$7,$C$7,IF(B73&lt;=$B$10,$C$10,IF(B73&lt;=$B$13,$C$13,$C$16))))</f>
        <v>3/8 CY tractor loader/backhoe</v>
      </c>
      <c r="D73" s="147">
        <f>+IF($B$73&lt;=$B$4,D4,IF($B$73&lt;=$B$7,D7,IF($B$73&lt;=$B$10,D10,IF($B$73&lt;=$B$13,D13,D16))))</f>
        <v>6.3</v>
      </c>
    </row>
    <row r="74" spans="2:4" ht="12.75">
      <c r="B74" s="147"/>
      <c r="C74" s="142" t="str">
        <f>+IF(B73&lt;=$B$4,$C$5,IF(B73&lt;=$B$7,$C$8,IF(B73&lt;=$B$10,$C$11,IF(B74&lt;=$B$13,$C$14,$C$17))))</f>
        <v>1/2 CY tractor loader/backhoe</v>
      </c>
      <c r="D74" s="147">
        <f>+IF($B$73&lt;=$B$4,D5,IF($B$73&lt;=$B$7,D8,IF($B$73&lt;=$B$10,D11,IF($B$73&lt;=$B$13,D14,D17))))</f>
        <v>4.85</v>
      </c>
    </row>
    <row r="75" spans="2:4" ht="12.75">
      <c r="B75" s="147"/>
      <c r="C75" s="142" t="str">
        <f>+IF(B73&lt;=$B$4,$C$6,IF(B73&lt;=$B$7,$C$9,IF(B73&lt;=$B$10,$C$12,IF(B73&lt;=$B$13,$C$15,$C$18))))</f>
        <v>-NA-</v>
      </c>
      <c r="D75" s="147">
        <f>+IF($B$73&lt;=$B$4,D6,IF($B$73&lt;=$B$7,D9,IF($B$73&lt;=$B$10,D12,IF($B$73&lt;=$B$13,D15,D18))))</f>
        <v>0</v>
      </c>
    </row>
    <row r="76" spans="1:5" ht="12.75">
      <c r="A76" s="142" t="s">
        <v>116</v>
      </c>
      <c r="B76" s="156">
        <f>+Cost!S$10</f>
        <v>0.6666666666666666</v>
      </c>
      <c r="C76" s="142" t="str">
        <f>+IF(B76&lt;=$B$4,$C$4,IF(B76&lt;=$B$7,$C$7,IF(B76&lt;=$B$10,$C$10,IF(B76&lt;=$B$13,$C$13,$C$16))))</f>
        <v>3/8 CY tractor loader/backhoe</v>
      </c>
      <c r="D76" s="147">
        <f>+IF($B$76&lt;=$B$4,D4,IF($B$76&lt;=$B$7,D7,IF($B$76&lt;=$B$10,D10,IF($B$76&lt;=$B$13,D13,D16))))</f>
        <v>6.3</v>
      </c>
      <c r="E76" s="156"/>
    </row>
    <row r="77" spans="2:5" ht="12.75">
      <c r="B77" s="147"/>
      <c r="C77" s="142" t="str">
        <f>+IF(B76&lt;=$B$4,$C$5,IF(B76&lt;=$B$7,$C$8,IF(B76&lt;=$B$10,$C$11,IF(B77&lt;=$B$13,$C$14,$C$17))))</f>
        <v>1/2 CY tractor loader/backhoe</v>
      </c>
      <c r="D77" s="147">
        <f>+IF($B$76&lt;=$B$4,D5,IF($B$76&lt;=$B$7,D8,IF($B$76&lt;=$B$10,D11,IF($B$76&lt;=$B$13,D14,D17))))</f>
        <v>4.85</v>
      </c>
      <c r="E77" s="156"/>
    </row>
    <row r="78" spans="2:5" ht="12.75">
      <c r="B78" s="147"/>
      <c r="C78" s="142" t="str">
        <f>+IF(B76&lt;=$B$4,$C$6,IF(B76&lt;=$B$7,$C$9,IF(B76&lt;=$B$10,$C$12,IF(B76&lt;=$B$13,$C$15,$C$18))))</f>
        <v>-NA-</v>
      </c>
      <c r="D78" s="147">
        <f>+IF($B$76&lt;=$B$4,D6,IF($B$76&lt;=$B$7,D9,IF($B$76&lt;=$B$10,D12,IF($B$76&lt;=$B$13,D15,D18))))</f>
        <v>0</v>
      </c>
      <c r="E78" s="156"/>
    </row>
    <row r="79" spans="1:5" ht="12.75">
      <c r="A79" s="142" t="s">
        <v>117</v>
      </c>
      <c r="B79" s="156">
        <f>+Cost!T$10</f>
        <v>0.6666666666666666</v>
      </c>
      <c r="C79" s="142" t="str">
        <f>+IF(B79&lt;=$B$4,$C$4,IF(B79&lt;=$B$7,$C$7,IF(B79&lt;=$B$10,$C$10,IF(B79&lt;=$B$13,$C$13,$C$16))))</f>
        <v>3/8 CY tractor loader/backhoe</v>
      </c>
      <c r="D79" s="147">
        <f>+IF($B$79&lt;=$B$4,D4,IF($B$79&lt;=$B$7,D7,IF($B$79&lt;=$B$10,D10,IF($B$79&lt;=$B$13,D13,D16))))</f>
        <v>6.3</v>
      </c>
      <c r="E79" s="156"/>
    </row>
    <row r="80" spans="2:5" ht="12.75">
      <c r="B80" s="147"/>
      <c r="C80" s="142" t="str">
        <f>+IF(B79&lt;=$B$4,$C$5,IF(B79&lt;=$B$7,$C$8,IF(B79&lt;=$B$10,$C$11,IF(B80&lt;=$B$13,$C$14,$C$17))))</f>
        <v>1/2 CY tractor loader/backhoe</v>
      </c>
      <c r="D80" s="147">
        <f>+IF($B$79&lt;=$B$4,D5,IF($B$79&lt;=$B$7,D8,IF($B$79&lt;=$B$10,D11,IF($B$79&lt;=$B$13,D14,D17))))</f>
        <v>4.85</v>
      </c>
      <c r="E80" s="156"/>
    </row>
    <row r="81" spans="2:5" ht="12.75">
      <c r="B81" s="147"/>
      <c r="C81" s="142" t="str">
        <f>+IF(B79&lt;=$B$4,$C$6,IF(B79&lt;=$B$7,$C$9,IF(B79&lt;=$B$10,$C$12,IF(B79&lt;=$B$13,$C$15,$C$18))))</f>
        <v>-NA-</v>
      </c>
      <c r="D81" s="147">
        <f>+IF($B$79&lt;=$B$4,D6,IF($B$79&lt;=$B$7,D9,IF($B$79&lt;=$B$10,D12,IF($B$79&lt;=$B$13,D15,D18))))</f>
        <v>0</v>
      </c>
      <c r="E81" s="156"/>
    </row>
    <row r="82" spans="1:5" ht="12.75">
      <c r="A82" s="142" t="s">
        <v>118</v>
      </c>
      <c r="B82" s="156">
        <f>+Cost!U$10</f>
        <v>0.6666666666666666</v>
      </c>
      <c r="C82" s="142" t="str">
        <f>+IF(B82&lt;=$B$4,$C$4,IF(B82&lt;=$B$7,$C$7,IF(B82&lt;=$B$10,$C$10,IF(B82&lt;=$B$13,$C$13,$C$16))))</f>
        <v>3/8 CY tractor loader/backhoe</v>
      </c>
      <c r="D82" s="147">
        <f>+IF($B82&lt;=$B$4,D4,IF($B82&lt;=$B$7,D7,IF($B82&lt;=$B$10,D10,IF($B82&lt;=$B$13,D13,D16))))</f>
        <v>6.3</v>
      </c>
      <c r="E82" s="156"/>
    </row>
    <row r="83" spans="2:5" ht="12.75">
      <c r="B83" s="156"/>
      <c r="C83" s="142" t="str">
        <f>+IF(B82&lt;=$B$4,$C$5,IF(B82&lt;=$B$7,$C$8,IF(B82&lt;=$B$10,$C$11,IF(B85&lt;=$B$13,$C$14,$C$17))))</f>
        <v>1/2 CY tractor loader/backhoe</v>
      </c>
      <c r="D83" s="147">
        <f>+IF($B82&lt;=$B$4,D5,IF($B82&lt;=$B$7,D8,IF($B82&lt;=$B$10,D11,IF($B82&lt;=$B$13,D14,D17))))</f>
        <v>4.85</v>
      </c>
      <c r="E83" s="156"/>
    </row>
    <row r="84" spans="2:5" ht="12.75">
      <c r="B84" s="156"/>
      <c r="C84" s="142" t="str">
        <f>+IF(B82&lt;=$B$4,$C$6,IF(B82&lt;=$B$7,$C$9,IF(B82&lt;=$B$10,$C$12,IF(B82&lt;=$B$13,$C$15,$C$18))))</f>
        <v>-NA-</v>
      </c>
      <c r="D84" s="147">
        <f>+IF($B82&lt;=$B$4,D6,IF($B82&lt;=$B$7,D9,IF($B82&lt;=$B$10,D12,IF($B82&lt;=$B$13,D15,D18))))</f>
        <v>0</v>
      </c>
      <c r="E84" s="156"/>
    </row>
    <row r="85" spans="1:5" ht="12.75">
      <c r="A85" s="142" t="s">
        <v>414</v>
      </c>
      <c r="B85" s="156">
        <f>+Cost!V$10</f>
        <v>0.6666666666666666</v>
      </c>
      <c r="C85" s="142" t="str">
        <f>+IF(B85&lt;=$B$4,$C$4,IF(B85&lt;=$B$7,$C$7,IF(B85&lt;=$B$10,$C$10,IF(B85&lt;=$B$13,$C$13,$C$16))))</f>
        <v>3/8 CY tractor loader/backhoe</v>
      </c>
      <c r="D85" s="147">
        <f>+IF($B85&lt;=$B$4,D7,IF($B85&lt;=$B$7,D10,IF($B85&lt;=$B$10,D13,IF($B85&lt;=$B$13,D16,D19))))</f>
        <v>4.85</v>
      </c>
      <c r="E85" s="156"/>
    </row>
    <row r="86" spans="2:5" ht="12.75">
      <c r="B86" s="156"/>
      <c r="C86" s="142" t="str">
        <f>+IF(B85&lt;=$B$4,$C$5,IF(B85&lt;=$B$7,$C$8,IF(B85&lt;=$B$10,$C$11,IF(B88&lt;=$B$13,$C$14,$C$17))))</f>
        <v>1/2 CY tractor loader/backhoe</v>
      </c>
      <c r="D86" s="147">
        <f>+IF($B85&lt;=$B$4,D8,IF($B85&lt;=$B$7,D11,IF($B85&lt;=$B$10,D14,IF($B85&lt;=$B$13,D17,D20))))</f>
        <v>4.94</v>
      </c>
      <c r="E86" s="156"/>
    </row>
    <row r="87" spans="2:5" ht="12.75">
      <c r="B87" s="156"/>
      <c r="C87" s="142" t="str">
        <f>+IF(B85&lt;=$B$4,$C$6,IF(B85&lt;=$B$7,$C$9,IF(B85&lt;=$B$10,$C$12,IF(B85&lt;=$B$13,$C$15,$C$18))))</f>
        <v>-NA-</v>
      </c>
      <c r="D87" s="147">
        <f>+IF($B85&lt;=$B$4,D9,IF($B85&lt;=$B$7,D12,IF($B85&lt;=$B$10,D15,IF($B85&lt;=$B$13,D18,D21))))</f>
        <v>4.27</v>
      </c>
      <c r="E87" s="156"/>
    </row>
    <row r="88" spans="1:4" ht="12.75">
      <c r="A88" s="142" t="s">
        <v>415</v>
      </c>
      <c r="B88" s="156">
        <f>+Cost!W$10</f>
        <v>0.6666666666666666</v>
      </c>
      <c r="C88" s="142" t="str">
        <f>+IF(B88&lt;=$B$4,$C$4,IF(B88&lt;=$B$7,$C$7,IF(B88&lt;=$B$10,$C$10,IF(B88&lt;=$B$13,$C$13,$C$16))))</f>
        <v>3/8 CY tractor loader/backhoe</v>
      </c>
      <c r="D88" s="147">
        <f>+IF($B88&lt;=$B$4,D10,IF($B88&lt;=$B$7,D13,IF($B88&lt;=$B$10,D16,IF($B88&lt;=$B$13,D19,D22))))</f>
        <v>5.7</v>
      </c>
    </row>
    <row r="89" spans="2:4" ht="12.75">
      <c r="B89" s="156"/>
      <c r="C89" s="142" t="str">
        <f>+IF(B88&lt;=$B$4,$C$5,IF(B88&lt;=$B$7,$C$8,IF(B88&lt;=$B$10,$C$11,IF(B91&lt;=$B$13,$C$14,$C$17))))</f>
        <v>1/2 CY tractor loader/backhoe</v>
      </c>
      <c r="D89" s="147">
        <f>+IF($B88&lt;=$B$4,D11,IF($B88&lt;=$B$7,D14,IF($B88&lt;=$B$10,D17,IF($B88&lt;=$B$13,D20,D23))))</f>
        <v>3.32</v>
      </c>
    </row>
    <row r="90" spans="2:4" ht="12.75">
      <c r="B90" s="156"/>
      <c r="C90" s="142" t="str">
        <f>+IF(B88&lt;=$B$4,$C$6,IF(B88&lt;=$B$7,$C$9,IF(B88&lt;=$B$10,$C$12,IF(B88&lt;=$B$13,$C$15,$C$18))))</f>
        <v>-NA-</v>
      </c>
      <c r="D90" s="147">
        <f>+IF($B88&lt;=$B$4,D12,IF($B88&lt;=$B$7,D15,IF($B88&lt;=$B$10,D18,IF($B88&lt;=$B$13,D21,D24))))</f>
        <v>2.59</v>
      </c>
    </row>
    <row r="91" spans="1:4" ht="12.75">
      <c r="A91" s="142" t="s">
        <v>416</v>
      </c>
      <c r="B91" s="156">
        <f>+Cost!X$10</f>
        <v>0.6666666666666666</v>
      </c>
      <c r="C91" s="142" t="str">
        <f>+IF(B91&lt;=$B$4,$C$4,IF(B91&lt;=$B$7,$C$7,IF(B91&lt;=$B$10,$C$10,IF(B91&lt;=$B$13,$C$13,$C$16))))</f>
        <v>3/8 CY tractor loader/backhoe</v>
      </c>
      <c r="D91" s="147">
        <f>+IF($B91&lt;=$B$4,D13,IF($B91&lt;=$B$7,D16,IF($B91&lt;=$B$10,D19,IF($B91&lt;=$B$13,D22,D25))))</f>
        <v>6.4</v>
      </c>
    </row>
    <row r="92" spans="2:4" ht="12.75">
      <c r="B92" s="156"/>
      <c r="C92" s="142" t="str">
        <f>+IF(B91&lt;=$B$4,$C$5,IF(B91&lt;=$B$7,$C$8,IF(B91&lt;=$B$10,$C$11,IF(B94&lt;=$B$13,$C$14,$C$17))))</f>
        <v>1/2 CY tractor loader/backhoe</v>
      </c>
      <c r="D92" s="147">
        <f>+IF($B91&lt;=$B$4,D14,IF($B91&lt;=$B$7,D17,IF($B91&lt;=$B$10,D20,IF($B91&lt;=$B$13,D23,D26))))</f>
        <v>3.69</v>
      </c>
    </row>
    <row r="93" spans="2:4" ht="12.75">
      <c r="B93" s="156"/>
      <c r="C93" s="142" t="str">
        <f>+IF(B91&lt;=$B$4,$C$6,IF(B91&lt;=$B$7,$C$9,IF(B91&lt;=$B$10,$C$12,IF(B91&lt;=$B$13,$C$15,$C$18))))</f>
        <v>-NA-</v>
      </c>
      <c r="D93" s="147">
        <f>+IF($B91&lt;=$B$4,D15,IF($B91&lt;=$B$7,D18,IF($B91&lt;=$B$10,D21,IF($B91&lt;=$B$13,D24,D27))))</f>
        <v>2.87</v>
      </c>
    </row>
    <row r="94" spans="1:4" ht="12.75">
      <c r="A94" s="142" t="s">
        <v>417</v>
      </c>
      <c r="B94" s="156">
        <f>+Cost!Y$10</f>
        <v>0.6666666666666666</v>
      </c>
      <c r="C94" s="142" t="str">
        <f>+IF(B94&lt;=$B$4,$C$4,IF(B94&lt;=$B$7,$C$7,IF(B94&lt;=$B$10,$C$10,IF(B94&lt;=$B$13,$C$13,$C$16))))</f>
        <v>3/8 CY tractor loader/backhoe</v>
      </c>
      <c r="D94" s="147">
        <f>+IF($B94&lt;=$B$4,D16,IF($B94&lt;=$B$7,D19,IF($B94&lt;=$B$10,D22,IF($B94&lt;=$B$13,D25,D28))))</f>
        <v>4.15</v>
      </c>
    </row>
    <row r="95" spans="2:4" ht="12.75">
      <c r="B95" s="156"/>
      <c r="C95" s="142" t="str">
        <f>+IF(B94&lt;=$B$4,$C$5,IF(B94&lt;=$B$7,$C$8,IF(B94&lt;=$B$10,$C$11,IF(B97&lt;=$B$13,$C$14,$C$17))))</f>
        <v>1/2 CY tractor loader/backhoe</v>
      </c>
      <c r="D95" s="147">
        <f>+IF($B94&lt;=$B$4,D17,IF($B94&lt;=$B$7,D20,IF($B94&lt;=$B$10,D23,IF($B94&lt;=$B$13,D26,D29))))</f>
        <v>3.23</v>
      </c>
    </row>
    <row r="96" spans="2:4" ht="12.75">
      <c r="B96" s="156"/>
      <c r="C96" s="142" t="str">
        <f>+IF(B94&lt;=$B$4,$C$6,IF(B94&lt;=$B$7,$C$9,IF(B94&lt;=$B$10,$C$12,IF(B94&lt;=$B$13,$C$15,$C$18))))</f>
        <v>-NA-</v>
      </c>
      <c r="D96" s="147">
        <f>+IF($B94&lt;=$B$4,D18,IF($B94&lt;=$B$7,D21,IF($B94&lt;=$B$10,D24,IF($B94&lt;=$B$13,D27,D30))))</f>
        <v>2.67</v>
      </c>
    </row>
    <row r="97" spans="1:4" ht="12.75">
      <c r="A97" s="142" t="s">
        <v>418</v>
      </c>
      <c r="B97" s="156">
        <f>+Cost!Z$10</f>
        <v>0.6666666666666666</v>
      </c>
      <c r="C97" s="142" t="str">
        <f>+IF(B97&lt;=$B$4,$C$4,IF(B97&lt;=$B$7,$C$7,IF(B97&lt;=$B$10,$C$10,IF(B97&lt;=$B$13,$C$13,$C$16))))</f>
        <v>3/8 CY tractor loader/backhoe</v>
      </c>
      <c r="D97" s="147">
        <f>+IF($B97&lt;=$B$4,D19,IF($B97&lt;=$B$7,D22,IF($B97&lt;=$B$10,D25,IF($B97&lt;=$B$13,D28,D31))))</f>
        <v>0</v>
      </c>
    </row>
    <row r="98" spans="3:4" ht="12.75">
      <c r="C98" s="142" t="str">
        <f>+IF(B97&lt;=$B$4,$C$5,IF(B97&lt;=$B$7,$C$8,IF(B97&lt;=$B$10,$C$11,IF(B100&lt;=$B$13,$C$14,$C$17))))</f>
        <v>1/2 CY tractor loader/backhoe</v>
      </c>
      <c r="D98" s="147">
        <f>+IF($B97&lt;=$B$4,D20,IF($B97&lt;=$B$7,D23,IF($B97&lt;=$B$10,D26,IF($B97&lt;=$B$13,D29,D32))))</f>
        <v>0</v>
      </c>
    </row>
    <row r="99" spans="3:4" ht="12.75">
      <c r="C99" s="142" t="str">
        <f>+IF(B97&lt;=$B$4,$C$6,IF(B97&lt;=$B$7,$C$9,IF(B97&lt;=$B$10,$C$12,IF(B97&lt;=$B$13,$C$15,$C$18))))</f>
        <v>-NA-</v>
      </c>
      <c r="D99" s="147">
        <f>+IF($B97&lt;=$B$4,D21,IF($B97&lt;=$B$7,D24,IF($B97&lt;=$B$10,D27,IF($B97&lt;=$B$13,D30,D33))))</f>
        <v>0</v>
      </c>
    </row>
    <row r="100" spans="1:4" ht="12.75">
      <c r="A100" s="142" t="s">
        <v>419</v>
      </c>
      <c r="C100" s="142" t="str">
        <f>+IF(B100&lt;=$B$4,$C$4,IF(B100&lt;=$B$7,$C$7,IF(B100&lt;=$B$10,$C$10,IF(B100&lt;=$B$13,$C$13,$C$16))))</f>
        <v>3/8 CY tractor loader/backhoe</v>
      </c>
      <c r="D100" s="147">
        <f>+IF($B100&lt;=$B$4,D22,IF($B100&lt;=$B$7,D25,IF($B100&lt;=$B$10,D28,IF($B100&lt;=$B$13,D31,D34))))</f>
        <v>0</v>
      </c>
    </row>
    <row r="101" spans="3:4" ht="12.75">
      <c r="C101" s="142" t="str">
        <f>+IF(B100&lt;=$B$4,$C$5,IF(B100&lt;=$B$7,$C$8,IF(B100&lt;=$B$10,$C$11,IF(B103&lt;=$B$13,$C$14,$C$17))))</f>
        <v>1/2 CY tractor loader/backhoe</v>
      </c>
      <c r="D101" s="147">
        <f>+IF($B100&lt;=$B$4,D23,IF($B100&lt;=$B$7,D26,IF($B100&lt;=$B$10,D29,IF($B100&lt;=$B$13,D32,D35))))</f>
        <v>0</v>
      </c>
    </row>
    <row r="102" spans="3:4" ht="12.75">
      <c r="C102" s="142" t="str">
        <f>+IF(B100&lt;=$B$4,$C$6,IF(B100&lt;=$B$7,$C$9,IF(B100&lt;=$B$10,$C$12,IF(B100&lt;=$B$13,$C$15,$C$18))))</f>
        <v>-NA-</v>
      </c>
      <c r="D102" s="147">
        <f>+IF($B100&lt;=$B$4,D24,IF($B100&lt;=$B$7,D27,IF($B100&lt;=$B$10,D30,IF($B100&lt;=$B$13,D33,D36))))</f>
        <v>0</v>
      </c>
    </row>
    <row r="103" spans="1:4" ht="12.75">
      <c r="A103" s="142" t="s">
        <v>420</v>
      </c>
      <c r="C103" s="142" t="str">
        <f>+IF(B103&lt;=$B$4,$C$4,IF(B103&lt;=$B$7,$C$7,IF(B103&lt;=$B$10,$C$10,IF(B103&lt;=$B$13,$C$13,$C$16))))</f>
        <v>3/8 CY tractor loader/backhoe</v>
      </c>
      <c r="D103" s="147">
        <f>+IF($B103&lt;=$B$4,D25,IF($B103&lt;=$B$7,D28,IF($B103&lt;=$B$10,D31,IF($B103&lt;=$B$13,D34,D37))))</f>
        <v>6.3</v>
      </c>
    </row>
    <row r="104" spans="3:4" ht="12.75">
      <c r="C104" s="142" t="str">
        <f>+IF(B103&lt;=$B$4,$C$5,IF(B103&lt;=$B$7,$C$8,IF(B103&lt;=$B$10,$C$11,IF(B106&lt;=$B$13,$C$14,$C$17))))</f>
        <v>1/2 CY tractor loader/backhoe</v>
      </c>
      <c r="D104" s="147">
        <f>+IF($B103&lt;=$B$4,D26,IF($B103&lt;=$B$7,D29,IF($B103&lt;=$B$10,D32,IF($B103&lt;=$B$13,D35,D38))))</f>
        <v>4.85</v>
      </c>
    </row>
    <row r="105" spans="3:4" ht="12.75">
      <c r="C105" s="142" t="str">
        <f>+IF(B103&lt;=$B$4,$C$6,IF(B103&lt;=$B$7,$C$9,IF(B103&lt;=$B$10,$C$12,IF(B103&lt;=$B$13,$C$15,$C$18))))</f>
        <v>-NA-</v>
      </c>
      <c r="D105" s="147">
        <f>+IF($B103&lt;=$B$4,D27,IF($B103&lt;=$B$7,D30,IF($B103&lt;=$B$10,D33,IF($B103&lt;=$B$13,D36,D39))))</f>
        <v>0</v>
      </c>
    </row>
    <row r="106" spans="1:4" ht="12.75">
      <c r="A106" s="142" t="s">
        <v>421</v>
      </c>
      <c r="C106" s="142" t="str">
        <f>+IF(B106&lt;=$B$4,$C$4,IF(B106&lt;=$B$7,$C$7,IF(B106&lt;=$B$10,$C$10,IF(B106&lt;=$B$13,$C$13,$C$16))))</f>
        <v>3/8 CY tractor loader/backhoe</v>
      </c>
      <c r="D106" s="147">
        <f>+IF($B106&lt;=$B$4,D28,IF($B106&lt;=$B$7,D31,IF($B106&lt;=$B$10,D34,IF($B106&lt;=$B$13,D37,D40))))</f>
        <v>6.3</v>
      </c>
    </row>
    <row r="107" spans="3:4" ht="12.75">
      <c r="C107" s="142" t="str">
        <f>+IF(B106&lt;=$B$4,$C$5,IF(B106&lt;=$B$7,$C$8,IF(B106&lt;=$B$10,$C$11,IF(B109&lt;=$B$13,$C$14,$C$17))))</f>
        <v>1/2 CY tractor loader/backhoe</v>
      </c>
      <c r="D107" s="147">
        <f>+IF($B106&lt;=$B$4,D29,IF($B106&lt;=$B$7,D32,IF($B106&lt;=$B$10,D35,IF($B106&lt;=$B$13,D38,D41))))</f>
        <v>4.85</v>
      </c>
    </row>
    <row r="108" spans="3:4" ht="12.75">
      <c r="C108" s="142" t="str">
        <f>+IF(B106&lt;=$B$4,$C$6,IF(B106&lt;=$B$7,$C$9,IF(B106&lt;=$B$10,$C$12,IF(B106&lt;=$B$13,$C$15,$C$18))))</f>
        <v>-NA-</v>
      </c>
      <c r="D108" s="147">
        <f>+IF($B106&lt;=$B$4,D30,IF($B106&lt;=$B$7,D33,IF($B106&lt;=$B$10,D36,IF($B106&lt;=$B$13,D39,D42))))</f>
        <v>0</v>
      </c>
    </row>
    <row r="109" spans="1:4" ht="12.75">
      <c r="A109" s="142" t="s">
        <v>422</v>
      </c>
      <c r="C109" s="142" t="str">
        <f>+IF(B109&lt;=$B$4,$C$4,IF(B109&lt;=$B$7,$C$7,IF(B109&lt;=$B$10,$C$10,IF(B109&lt;=$B$13,$C$13,$C$16))))</f>
        <v>3/8 CY tractor loader/backhoe</v>
      </c>
      <c r="D109" s="147">
        <f>+IF($B109&lt;=$B$4,D31,IF($B109&lt;=$B$7,D34,IF($B109&lt;=$B$10,D37,IF($B109&lt;=$B$13,D40,D43))))</f>
        <v>6.3</v>
      </c>
    </row>
    <row r="110" spans="3:4" ht="12.75">
      <c r="C110" s="142" t="str">
        <f>+IF(B109&lt;=$B$4,$C$5,IF(B109&lt;=$B$7,$C$8,IF(B109&lt;=$B$10,$C$11,IF(B112&lt;=$B$13,$C$14,$C$17))))</f>
        <v>1/2 CY tractor loader/backhoe</v>
      </c>
      <c r="D110" s="147">
        <f>+IF($B109&lt;=$B$4,D32,IF($B109&lt;=$B$7,D35,IF($B109&lt;=$B$10,D38,IF($B109&lt;=$B$13,D41,D44))))</f>
        <v>4.85</v>
      </c>
    </row>
    <row r="111" spans="3:4" ht="12.75">
      <c r="C111" s="142" t="str">
        <f>+IF(B109&lt;=$B$4,$C$6,IF(B109&lt;=$B$7,$C$9,IF(B109&lt;=$B$10,$C$12,IF(B109&lt;=$B$13,$C$15,$C$18))))</f>
        <v>-NA-</v>
      </c>
      <c r="D111" s="147">
        <f>+IF($B109&lt;=$B$4,D33,IF($B109&lt;=$B$7,D36,IF($B109&lt;=$B$10,D39,IF($B109&lt;=$B$13,D42,D45))))</f>
        <v>0</v>
      </c>
    </row>
    <row r="112" spans="1:4" ht="12.75">
      <c r="A112" s="142" t="s">
        <v>423</v>
      </c>
      <c r="C112" s="142" t="str">
        <f>+IF(B112&lt;=$B$4,$C$4,IF(B112&lt;=$B$7,$C$7,IF(B112&lt;=$B$10,$C$10,IF(B112&lt;=$B$13,$C$13,$C$16))))</f>
        <v>3/8 CY tractor loader/backhoe</v>
      </c>
      <c r="D112" s="147">
        <f>+IF($B112&lt;=$B$4,D34,IF($B112&lt;=$B$7,D37,IF($B112&lt;=$B$10,D40,IF($B112&lt;=$B$13,D43,D46))))</f>
        <v>6.3</v>
      </c>
    </row>
    <row r="113" spans="3:4" ht="12.75">
      <c r="C113" s="142" t="str">
        <f>+IF(B112&lt;=$B$4,$C$5,IF(B112&lt;=$B$7,$C$8,IF(B112&lt;=$B$10,$C$11,IF(B115&lt;=$B$13,$C$14,$C$17))))</f>
        <v>1/2 CY tractor loader/backhoe</v>
      </c>
      <c r="D113" s="147">
        <f>+IF($B112&lt;=$B$4,D35,IF($B112&lt;=$B$7,D38,IF($B112&lt;=$B$10,D41,IF($B112&lt;=$B$13,D44,D47))))</f>
        <v>4.85</v>
      </c>
    </row>
    <row r="114" spans="3:4" ht="12.75">
      <c r="C114" s="142" t="str">
        <f>+IF(B112&lt;=$B$4,$C$6,IF(B112&lt;=$B$7,$C$9,IF(B112&lt;=$B$10,$C$12,IF(B112&lt;=$B$13,$C$15,$C$18))))</f>
        <v>-NA-</v>
      </c>
      <c r="D114" s="147">
        <f>+IF($B112&lt;=$B$4,D36,IF($B112&lt;=$B$7,D39,IF($B112&lt;=$B$10,D42,IF($B112&lt;=$B$13,D45,D48))))</f>
        <v>0</v>
      </c>
    </row>
    <row r="115" spans="1:4" ht="12.75">
      <c r="A115" s="142" t="s">
        <v>424</v>
      </c>
      <c r="C115" s="142" t="str">
        <f>+IF(B115&lt;=$B$4,$C$4,IF(B115&lt;=$B$7,$C$7,IF(B115&lt;=$B$10,$C$10,IF(B115&lt;=$B$13,$C$13,$C$16))))</f>
        <v>3/8 CY tractor loader/backhoe</v>
      </c>
      <c r="D115" s="147">
        <f>+IF($B115&lt;=$B$4,D37,IF($B115&lt;=$B$7,D40,IF($B115&lt;=$B$10,D43,IF($B115&lt;=$B$13,D46,D49))))</f>
        <v>6.3</v>
      </c>
    </row>
    <row r="116" spans="3:4" ht="12.75">
      <c r="C116" s="142" t="str">
        <f>+IF(B115&lt;=$B$4,$C$5,IF(B115&lt;=$B$7,$C$8,IF(B115&lt;=$B$10,$C$11,IF(B118&lt;=$B$13,$C$14,$C$17))))</f>
        <v>1/2 CY tractor loader/backhoe</v>
      </c>
      <c r="D116" s="147">
        <f>+IF($B115&lt;=$B$4,D38,IF($B115&lt;=$B$7,D41,IF($B115&lt;=$B$10,D44,IF($B115&lt;=$B$13,D47,D50))))</f>
        <v>4.85</v>
      </c>
    </row>
    <row r="117" spans="3:4" ht="12.75">
      <c r="C117" s="142" t="str">
        <f>+IF(B115&lt;=$B$4,$C$6,IF(B115&lt;=$B$7,$C$9,IF(B115&lt;=$B$10,$C$12,IF(B115&lt;=$B$13,$C$15,$C$18))))</f>
        <v>-NA-</v>
      </c>
      <c r="D117" s="147">
        <f>+IF($B115&lt;=$B$4,D39,IF($B115&lt;=$B$7,D42,IF($B115&lt;=$B$10,D45,IF($B115&lt;=$B$13,D48,D51))))</f>
        <v>0</v>
      </c>
    </row>
    <row r="118" spans="1:4" ht="12.75">
      <c r="A118" s="89" t="s">
        <v>425</v>
      </c>
      <c r="C118" s="142" t="str">
        <f>+IF(B118&lt;=$B$4,$C$4,IF(B118&lt;=$B$7,$C$7,IF(B118&lt;=$B$10,$C$10,IF(B118&lt;=$B$13,$C$13,$C$16))))</f>
        <v>3/8 CY tractor loader/backhoe</v>
      </c>
      <c r="D118" s="147">
        <f>+IF($B118&lt;=$B$4,D40,IF($B118&lt;=$B$7,D43,IF($B118&lt;=$B$10,D46,IF($B118&lt;=$B$13,D49,D52))))</f>
        <v>6.3</v>
      </c>
    </row>
    <row r="119" spans="1:4" ht="12.75">
      <c r="A119" s="89"/>
      <c r="C119" s="142" t="str">
        <f>+IF(B118&lt;=$B$4,$C$5,IF(B118&lt;=$B$7,$C$8,IF(B118&lt;=$B$10,$C$11,IF(B121&lt;=$B$13,$C$14,$C$17))))</f>
        <v>1/2 CY tractor loader/backhoe</v>
      </c>
      <c r="D119" s="147">
        <f>+IF($B118&lt;=$B$4,D41,IF($B118&lt;=$B$7,D44,IF($B118&lt;=$B$10,D47,IF($B118&lt;=$B$13,D50,D53))))</f>
        <v>4.85</v>
      </c>
    </row>
    <row r="120" spans="1:4" ht="12.75">
      <c r="A120" s="89"/>
      <c r="C120" s="142" t="str">
        <f>+IF(B118&lt;=$B$4,$C$6,IF(B118&lt;=$B$7,$C$9,IF(B118&lt;=$B$10,$C$12,IF(B118&lt;=$B$13,$C$15,$C$18))))</f>
        <v>-NA-</v>
      </c>
      <c r="D120" s="147">
        <f>+IF($B118&lt;=$B$4,D42,IF($B118&lt;=$B$7,D45,IF($B118&lt;=$B$10,D48,IF($B118&lt;=$B$13,D51,D54))))</f>
        <v>0</v>
      </c>
    </row>
    <row r="121" spans="1:4" ht="12.75">
      <c r="A121" s="89" t="s">
        <v>426</v>
      </c>
      <c r="C121" s="142" t="str">
        <f>+IF(B121&lt;=$B$4,$C$4,IF(B121&lt;=$B$7,$C$7,IF(B121&lt;=$B$10,$C$10,IF(B121&lt;=$B$13,$C$13,$C$16))))</f>
        <v>3/8 CY tractor loader/backhoe</v>
      </c>
      <c r="D121" s="147">
        <f>+IF($B121&lt;=$B$4,D43,IF($B121&lt;=$B$7,D46,IF($B121&lt;=$B$10,D49,IF($B121&lt;=$B$13,D52,D55))))</f>
        <v>6.3</v>
      </c>
    </row>
    <row r="122" spans="1:4" ht="12.75">
      <c r="A122" s="89"/>
      <c r="C122" s="142" t="str">
        <f>+IF(B121&lt;=$B$4,$C$5,IF(B121&lt;=$B$7,$C$8,IF(B121&lt;=$B$10,$C$11,IF(B124&lt;=$B$13,$C$14,$C$17))))</f>
        <v>1/2 CY tractor loader/backhoe</v>
      </c>
      <c r="D122" s="147">
        <f>+IF($B121&lt;=$B$4,D44,IF($B121&lt;=$B$7,D47,IF($B121&lt;=$B$10,D50,IF($B121&lt;=$B$13,D53,D56))))</f>
        <v>4.85</v>
      </c>
    </row>
    <row r="123" spans="1:4" ht="12.75">
      <c r="A123" s="89"/>
      <c r="C123" s="142" t="str">
        <f>+IF(B121&lt;=$B$4,$C$6,IF(B121&lt;=$B$7,$C$9,IF(B121&lt;=$B$10,$C$12,IF(B121&lt;=$B$13,$C$15,$C$18))))</f>
        <v>-NA-</v>
      </c>
      <c r="D123" s="147">
        <f>+IF($B121&lt;=$B$4,D45,IF($B121&lt;=$B$7,D48,IF($B121&lt;=$B$10,D51,IF($B121&lt;=$B$13,D54,D57))))</f>
        <v>0</v>
      </c>
    </row>
    <row r="124" spans="1:4" ht="12.75">
      <c r="A124" s="89" t="s">
        <v>427</v>
      </c>
      <c r="C124" s="142" t="str">
        <f>+IF(B124&lt;=$B$4,$C$4,IF(B124&lt;=$B$7,$C$7,IF(B124&lt;=$B$10,$C$10,IF(B124&lt;=$B$13,$C$13,$C$16))))</f>
        <v>3/8 CY tractor loader/backhoe</v>
      </c>
      <c r="D124" s="147">
        <f>+IF($B124&lt;=$B$4,D46,IF($B124&lt;=$B$7,D49,IF($B124&lt;=$B$10,D52,IF($B124&lt;=$B$13,D55,D58))))</f>
        <v>6.3</v>
      </c>
    </row>
    <row r="125" spans="1:4" ht="12.75">
      <c r="A125" s="89"/>
      <c r="C125" s="142" t="str">
        <f>+IF(B124&lt;=$B$4,$C$5,IF(B124&lt;=$B$7,$C$8,IF(B124&lt;=$B$10,$C$11,IF(B127&lt;=$B$13,$C$14,$C$17))))</f>
        <v>1/2 CY tractor loader/backhoe</v>
      </c>
      <c r="D125" s="147">
        <f>+IF($B124&lt;=$B$4,D47,IF($B124&lt;=$B$7,D50,IF($B124&lt;=$B$10,D53,IF($B124&lt;=$B$13,D56,D59))))</f>
        <v>4.85</v>
      </c>
    </row>
    <row r="126" spans="1:4" ht="12.75">
      <c r="A126" s="89"/>
      <c r="C126" s="142" t="str">
        <f>+IF(B124&lt;=$B$4,$C$6,IF(B124&lt;=$B$7,$C$9,IF(B124&lt;=$B$10,$C$12,IF(B124&lt;=$B$13,$C$15,$C$18))))</f>
        <v>-NA-</v>
      </c>
      <c r="D126" s="147">
        <f>+IF($B124&lt;=$B$4,D48,IF($B124&lt;=$B$7,D51,IF($B124&lt;=$B$10,D54,IF($B124&lt;=$B$13,D57,D60))))</f>
        <v>0</v>
      </c>
    </row>
    <row r="127" spans="1:4" ht="12.75">
      <c r="A127" s="89" t="s">
        <v>428</v>
      </c>
      <c r="C127" s="142" t="str">
        <f>+IF(B127&lt;=$B$4,$C$4,IF(B127&lt;=$B$7,$C$7,IF(B127&lt;=$B$10,$C$10,IF(B127&lt;=$B$13,$C$13,$C$16))))</f>
        <v>3/8 CY tractor loader/backhoe</v>
      </c>
      <c r="D127" s="147">
        <f>+IF($B127&lt;=$B$4,D49,IF($B127&lt;=$B$7,D52,IF($B127&lt;=$B$10,D55,IF($B127&lt;=$B$13,D58,D61))))</f>
        <v>6.3</v>
      </c>
    </row>
    <row r="128" spans="1:4" ht="12.75">
      <c r="A128" s="89"/>
      <c r="C128" s="142" t="str">
        <f>+IF(B127&lt;=$B$4,$C$5,IF(B127&lt;=$B$7,$C$8,IF(B127&lt;=$B$10,$C$11,IF(B130&lt;=$B$13,$C$14,$C$17))))</f>
        <v>1/2 CY tractor loader/backhoe</v>
      </c>
      <c r="D128" s="147">
        <f>+IF($B127&lt;=$B$4,D50,IF($B127&lt;=$B$7,D53,IF($B127&lt;=$B$10,D56,IF($B127&lt;=$B$13,D59,D62))))</f>
        <v>4.85</v>
      </c>
    </row>
    <row r="129" spans="1:4" ht="12.75">
      <c r="A129" s="89"/>
      <c r="C129" s="142" t="str">
        <f>+IF(B127&lt;=$B$4,$C$6,IF(B127&lt;=$B$7,$C$9,IF(B127&lt;=$B$10,$C$12,IF(B127&lt;=$B$13,$C$15,$C$18))))</f>
        <v>-NA-</v>
      </c>
      <c r="D129" s="147">
        <f>+IF($B127&lt;=$B$4,D51,IF($B127&lt;=$B$7,D54,IF($B127&lt;=$B$10,D57,IF($B127&lt;=$B$13,D60,D63))))</f>
        <v>0</v>
      </c>
    </row>
    <row r="130" spans="1:4" ht="12.75">
      <c r="A130" s="89" t="s">
        <v>429</v>
      </c>
      <c r="C130" s="142" t="str">
        <f>+IF(B130&lt;=$B$4,$C$4,IF(B130&lt;=$B$7,$C$7,IF(B130&lt;=$B$10,$C$10,IF(B130&lt;=$B$13,$C$13,$C$16))))</f>
        <v>3/8 CY tractor loader/backhoe</v>
      </c>
      <c r="D130" s="147">
        <f>+IF($B130&lt;=$B$4,D52,IF($B130&lt;=$B$7,D55,IF($B130&lt;=$B$10,D58,IF($B130&lt;=$B$13,D61,D64))))</f>
        <v>6.3</v>
      </c>
    </row>
    <row r="131" spans="1:4" ht="12.75">
      <c r="A131" s="89"/>
      <c r="C131" s="142" t="str">
        <f>+IF(B130&lt;=$B$4,$C$5,IF(B130&lt;=$B$7,$C$8,IF(B130&lt;=$B$10,$C$11,IF(B133&lt;=$B$13,$C$14,$C$17))))</f>
        <v>1/2 CY tractor loader/backhoe</v>
      </c>
      <c r="D131" s="147">
        <f>+IF($B130&lt;=$B$4,D53,IF($B130&lt;=$B$7,D56,IF($B130&lt;=$B$10,D59,IF($B130&lt;=$B$13,D62,D65))))</f>
        <v>4.85</v>
      </c>
    </row>
    <row r="132" spans="1:4" ht="12.75">
      <c r="A132" s="89"/>
      <c r="C132" s="142" t="str">
        <f>+IF(B130&lt;=$B$4,$C$6,IF(B130&lt;=$B$7,$C$9,IF(B130&lt;=$B$10,$C$12,IF(B130&lt;=$B$13,$C$15,$C$18))))</f>
        <v>-NA-</v>
      </c>
      <c r="D132" s="147">
        <f>+IF($B130&lt;=$B$4,D54,IF($B130&lt;=$B$7,D57,IF($B130&lt;=$B$10,D60,IF($B130&lt;=$B$13,D63,D66))))</f>
        <v>0</v>
      </c>
    </row>
    <row r="133" spans="1:4" ht="12.75">
      <c r="A133" s="89" t="s">
        <v>430</v>
      </c>
      <c r="C133" s="142" t="str">
        <f>+IF(B133&lt;=$B$4,$C$4,IF(B133&lt;=$B$7,$C$7,IF(B133&lt;=$B$10,$C$10,IF(B133&lt;=$B$13,$C$13,$C$16))))</f>
        <v>3/8 CY tractor loader/backhoe</v>
      </c>
      <c r="D133" s="147">
        <f>+IF($B133&lt;=$B$4,D55,IF($B133&lt;=$B$7,D58,IF($B133&lt;=$B$10,D61,IF($B133&lt;=$B$13,D64,D67))))</f>
        <v>6.3</v>
      </c>
    </row>
    <row r="134" spans="1:4" ht="12.75">
      <c r="A134" s="89"/>
      <c r="C134" s="142" t="str">
        <f>+IF(B133&lt;=$B$4,$C$5,IF(B133&lt;=$B$7,$C$8,IF(B133&lt;=$B$10,$C$11,IF(B136&lt;=$B$13,$C$14,$C$17))))</f>
        <v>1/2 CY tractor loader/backhoe</v>
      </c>
      <c r="D134" s="147">
        <f>+IF($B133&lt;=$B$4,D56,IF($B133&lt;=$B$7,D59,IF($B133&lt;=$B$10,D62,IF($B133&lt;=$B$13,D65,D68))))</f>
        <v>4.85</v>
      </c>
    </row>
    <row r="135" spans="1:4" ht="12.75">
      <c r="A135" s="89"/>
      <c r="C135" s="142" t="str">
        <f>+IF(B133&lt;=$B$4,$C$6,IF(B133&lt;=$B$7,$C$9,IF(B133&lt;=$B$10,$C$12,IF(B133&lt;=$B$13,$C$15,$C$18))))</f>
        <v>-NA-</v>
      </c>
      <c r="D135" s="147">
        <f>+IF($B133&lt;=$B$4,D57,IF($B133&lt;=$B$7,D60,IF($B133&lt;=$B$10,D63,IF($B133&lt;=$B$13,D66,D69))))</f>
        <v>0</v>
      </c>
    </row>
    <row r="136" spans="1:4" ht="12.75">
      <c r="A136" s="89" t="s">
        <v>431</v>
      </c>
      <c r="C136" s="142" t="str">
        <f>+IF(B136&lt;=$B$4,$C$4,IF(B136&lt;=$B$7,$C$7,IF(B136&lt;=$B$10,$C$10,IF(B136&lt;=$B$13,$C$13,$C$16))))</f>
        <v>3/8 CY tractor loader/backhoe</v>
      </c>
      <c r="D136" s="147">
        <f>+IF($B136&lt;=$B$4,D58,IF($B136&lt;=$B$7,D61,IF($B136&lt;=$B$10,D64,IF($B136&lt;=$B$13,D67,D70))))</f>
        <v>6.3</v>
      </c>
    </row>
    <row r="137" spans="1:4" ht="12.75">
      <c r="A137" s="89"/>
      <c r="C137" s="142" t="str">
        <f>+IF(B136&lt;=$B$4,$C$5,IF(B136&lt;=$B$7,$C$8,IF(B136&lt;=$B$10,$C$11,IF(B139&lt;=$B$13,$C$14,$C$17))))</f>
        <v>1/2 CY tractor loader/backhoe</v>
      </c>
      <c r="D137" s="147">
        <f>+IF($B136&lt;=$B$4,D59,IF($B136&lt;=$B$7,D62,IF($B136&lt;=$B$10,D65,IF($B136&lt;=$B$13,D68,D71))))</f>
        <v>4.85</v>
      </c>
    </row>
    <row r="138" spans="1:4" ht="12.75">
      <c r="A138" s="89"/>
      <c r="C138" s="142" t="str">
        <f>+IF(B136&lt;=$B$4,$C$6,IF(B136&lt;=$B$7,$C$9,IF(B136&lt;=$B$10,$C$12,IF(B136&lt;=$B$13,$C$15,$C$18))))</f>
        <v>-NA-</v>
      </c>
      <c r="D138" s="147">
        <f>+IF($B136&lt;=$B$4,D60,IF($B136&lt;=$B$7,D63,IF($B136&lt;=$B$10,D66,IF($B136&lt;=$B$13,D69,D72))))</f>
        <v>0</v>
      </c>
    </row>
    <row r="139" spans="1:4" ht="12.75">
      <c r="A139" s="89" t="s">
        <v>432</v>
      </c>
      <c r="C139" s="142" t="str">
        <f>+IF(B139&lt;=$B$4,$C$4,IF(B139&lt;=$B$7,$C$7,IF(B139&lt;=$B$10,$C$10,IF(B139&lt;=$B$13,$C$13,$C$16))))</f>
        <v>3/8 CY tractor loader/backhoe</v>
      </c>
      <c r="D139" s="147">
        <f>+IF($B139&lt;=$B$4,D61,IF($B139&lt;=$B$7,D64,IF($B139&lt;=$B$10,D67,IF($B139&lt;=$B$13,D70,D73))))</f>
        <v>6.3</v>
      </c>
    </row>
    <row r="140" spans="1:4" ht="12.75">
      <c r="A140" s="89"/>
      <c r="C140" s="142" t="str">
        <f>+IF(B139&lt;=$B$4,$C$5,IF(B139&lt;=$B$7,$C$8,IF(B139&lt;=$B$10,$C$11,IF(B142&lt;=$B$13,$C$14,$C$17))))</f>
        <v>1/2 CY tractor loader/backhoe</v>
      </c>
      <c r="D140" s="147">
        <f>+IF($B139&lt;=$B$4,D62,IF($B139&lt;=$B$7,D65,IF($B139&lt;=$B$10,D68,IF($B139&lt;=$B$13,D71,D74))))</f>
        <v>4.85</v>
      </c>
    </row>
    <row r="141" spans="1:4" ht="12.75">
      <c r="A141" s="89"/>
      <c r="C141" s="142" t="str">
        <f>+IF(B139&lt;=$B$4,$C$6,IF(B139&lt;=$B$7,$C$9,IF(B139&lt;=$B$10,$C$12,IF(B139&lt;=$B$13,$C$15,$C$18))))</f>
        <v>-NA-</v>
      </c>
      <c r="D141" s="147">
        <f>+IF($B139&lt;=$B$4,D63,IF($B139&lt;=$B$7,D66,IF($B139&lt;=$B$10,D69,IF($B139&lt;=$B$13,D72,D75))))</f>
        <v>0</v>
      </c>
    </row>
    <row r="142" spans="1:4" ht="12.75">
      <c r="A142" s="89" t="s">
        <v>433</v>
      </c>
      <c r="C142" s="142" t="str">
        <f>+IF(B142&lt;=$B$4,$C$4,IF(B142&lt;=$B$7,$C$7,IF(B142&lt;=$B$10,$C$10,IF(B142&lt;=$B$13,$C$13,$C$16))))</f>
        <v>3/8 CY tractor loader/backhoe</v>
      </c>
      <c r="D142" s="147">
        <f>+IF($B142&lt;=$B$4,D64,IF($B142&lt;=$B$7,D67,IF($B142&lt;=$B$10,D70,IF($B142&lt;=$B$13,D73,D76))))</f>
        <v>6.3</v>
      </c>
    </row>
    <row r="143" spans="1:4" ht="12.75">
      <c r="A143" s="89"/>
      <c r="C143" s="142" t="str">
        <f>+IF(B142&lt;=$B$4,$C$5,IF(B142&lt;=$B$7,$C$8,IF(B142&lt;=$B$10,$C$11,IF(B145&lt;=$B$13,$C$14,$C$17))))</f>
        <v>1/2 CY tractor loader/backhoe</v>
      </c>
      <c r="D143" s="147">
        <f>+IF($B142&lt;=$B$4,D65,IF($B142&lt;=$B$7,D68,IF($B142&lt;=$B$10,D71,IF($B142&lt;=$B$13,D74,D77))))</f>
        <v>4.85</v>
      </c>
    </row>
    <row r="144" spans="1:4" ht="12.75">
      <c r="A144" s="89"/>
      <c r="C144" s="142" t="str">
        <f>+IF(B142&lt;=$B$4,$C$6,IF(B142&lt;=$B$7,$C$9,IF(B142&lt;=$B$10,$C$12,IF(B142&lt;=$B$13,$C$15,$C$18))))</f>
        <v>-NA-</v>
      </c>
      <c r="D144" s="147">
        <f>+IF($B142&lt;=$B$4,D66,IF($B142&lt;=$B$7,D69,IF($B142&lt;=$B$10,D72,IF($B142&lt;=$B$13,D75,D78))))</f>
        <v>0</v>
      </c>
    </row>
    <row r="145" spans="1:4" ht="12.75">
      <c r="A145" s="64" t="s">
        <v>434</v>
      </c>
      <c r="C145" s="142" t="str">
        <f>+IF(B145&lt;=$B$4,$C$4,IF(B145&lt;=$B$7,$C$7,IF(B145&lt;=$B$10,$C$10,IF(B145&lt;=$B$13,$C$13,$C$16))))</f>
        <v>3/8 CY tractor loader/backhoe</v>
      </c>
      <c r="D145" s="147">
        <f>+IF($B145&lt;=$B$4,D67,IF($B145&lt;=$B$7,D70,IF($B145&lt;=$B$10,D73,IF($B145&lt;=$B$13,D76,D79))))</f>
        <v>6.3</v>
      </c>
    </row>
    <row r="146" spans="1:4" ht="12.75">
      <c r="A146" s="64"/>
      <c r="C146" s="142" t="str">
        <f>+IF(B145&lt;=$B$4,$C$5,IF(B145&lt;=$B$7,$C$8,IF(B145&lt;=$B$10,$C$11,IF(B148&lt;=$B$13,$C$14,$C$17))))</f>
        <v>1/2 CY tractor loader/backhoe</v>
      </c>
      <c r="D146" s="147">
        <f>+IF($B145&lt;=$B$4,D68,IF($B145&lt;=$B$7,D71,IF($B145&lt;=$B$10,D74,IF($B145&lt;=$B$13,D77,D80))))</f>
        <v>4.85</v>
      </c>
    </row>
    <row r="147" spans="1:4" ht="12.75">
      <c r="A147" s="64"/>
      <c r="C147" s="142" t="str">
        <f>+IF(B145&lt;=$B$4,$C$6,IF(B145&lt;=$B$7,$C$9,IF(B145&lt;=$B$10,$C$12,IF(B145&lt;=$B$13,$C$15,$C$18))))</f>
        <v>-NA-</v>
      </c>
      <c r="D147" s="147">
        <f>+IF($B145&lt;=$B$4,D69,IF($B145&lt;=$B$7,D72,IF($B145&lt;=$B$10,D75,IF($B145&lt;=$B$13,D78,D81))))</f>
        <v>0</v>
      </c>
    </row>
    <row r="148" spans="1:4" ht="12.75">
      <c r="A148" s="89" t="s">
        <v>435</v>
      </c>
      <c r="C148" s="142" t="str">
        <f>+IF(B148&lt;=$B$4,$C$4,IF(B148&lt;=$B$7,$C$7,IF(B148&lt;=$B$10,$C$10,IF(B148&lt;=$B$13,$C$13,$C$16))))</f>
        <v>3/8 CY tractor loader/backhoe</v>
      </c>
      <c r="D148" s="147">
        <f>+IF($B148&lt;=$B$4,D70,IF($B148&lt;=$B$7,D73,IF($B148&lt;=$B$10,D76,IF($B148&lt;=$B$13,D79,D82))))</f>
        <v>6.3</v>
      </c>
    </row>
    <row r="149" spans="1:4" ht="12.75">
      <c r="A149" s="89"/>
      <c r="C149" s="142" t="str">
        <f>+IF(B148&lt;=$B$4,$C$5,IF(B148&lt;=$B$7,$C$8,IF(B148&lt;=$B$10,$C$11,IF(B151&lt;=$B$13,$C$14,$C$17))))</f>
        <v>1/2 CY tractor loader/backhoe</v>
      </c>
      <c r="D149" s="147">
        <f>+IF($B148&lt;=$B$4,D71,IF($B148&lt;=$B$7,D74,IF($B148&lt;=$B$10,D77,IF($B148&lt;=$B$13,D80,D83))))</f>
        <v>4.85</v>
      </c>
    </row>
    <row r="150" spans="1:4" ht="12.75">
      <c r="A150" s="89"/>
      <c r="C150" s="142" t="str">
        <f>+IF(B148&lt;=$B$4,$C$6,IF(B148&lt;=$B$7,$C$9,IF(B148&lt;=$B$10,$C$12,IF(B148&lt;=$B$13,$C$15,$C$18))))</f>
        <v>-NA-</v>
      </c>
      <c r="D150" s="147">
        <f>+IF($B148&lt;=$B$4,D72,IF($B148&lt;=$B$7,D75,IF($B148&lt;=$B$10,D78,IF($B148&lt;=$B$13,D81,D84))))</f>
        <v>0</v>
      </c>
    </row>
    <row r="151" spans="1:4" ht="12.75">
      <c r="A151" s="89" t="s">
        <v>436</v>
      </c>
      <c r="C151" s="142" t="str">
        <f>+IF(B151&lt;=$B$4,$C$4,IF(B151&lt;=$B$7,$C$7,IF(B151&lt;=$B$10,$C$10,IF(B151&lt;=$B$13,$C$13,$C$16))))</f>
        <v>3/8 CY tractor loader/backhoe</v>
      </c>
      <c r="D151" s="147">
        <f>+IF($B151&lt;=$B$4,D73,IF($B151&lt;=$B$7,D76,IF($B151&lt;=$B$10,D79,IF($B151&lt;=$B$13,D82,D85))))</f>
        <v>6.3</v>
      </c>
    </row>
    <row r="152" spans="1:4" ht="12.75">
      <c r="A152" s="89"/>
      <c r="C152" s="142" t="str">
        <f>+IF(B151&lt;=$B$4,$C$5,IF(B151&lt;=$B$7,$C$8,IF(B151&lt;=$B$10,$C$11,IF(B154&lt;=$B$13,$C$14,$C$17))))</f>
        <v>1/2 CY tractor loader/backhoe</v>
      </c>
      <c r="D152" s="147">
        <f>+IF($B151&lt;=$B$4,D74,IF($B151&lt;=$B$7,D77,IF($B151&lt;=$B$10,D80,IF($B151&lt;=$B$13,D83,D86))))</f>
        <v>4.85</v>
      </c>
    </row>
    <row r="153" spans="1:4" ht="12.75">
      <c r="A153" s="89"/>
      <c r="C153" s="142" t="str">
        <f>+IF(B151&lt;=$B$4,$C$6,IF(B151&lt;=$B$7,$C$9,IF(B151&lt;=$B$10,$C$12,IF(B151&lt;=$B$13,$C$15,$C$18))))</f>
        <v>-NA-</v>
      </c>
      <c r="D153" s="147">
        <f>+IF($B151&lt;=$B$4,D75,IF($B151&lt;=$B$7,D78,IF($B151&lt;=$B$10,D81,IF($B151&lt;=$B$13,D84,D87))))</f>
        <v>0</v>
      </c>
    </row>
    <row r="154" spans="1:4" ht="12.75">
      <c r="A154" s="89" t="s">
        <v>437</v>
      </c>
      <c r="C154" s="142" t="str">
        <f>+IF(B154&lt;=$B$4,$C$4,IF(B154&lt;=$B$7,$C$7,IF(B154&lt;=$B$10,$C$10,IF(B154&lt;=$B$13,$C$13,$C$16))))</f>
        <v>3/8 CY tractor loader/backhoe</v>
      </c>
      <c r="D154" s="147">
        <f>+IF($B154&lt;=$B$4,D76,IF($B154&lt;=$B$7,D79,IF($B154&lt;=$B$10,D82,IF($B154&lt;=$B$13,D85,D88))))</f>
        <v>6.3</v>
      </c>
    </row>
    <row r="155" spans="1:4" ht="12.75">
      <c r="A155" s="89"/>
      <c r="C155" s="142" t="str">
        <f>+IF(B154&lt;=$B$4,$C$5,IF(B154&lt;=$B$7,$C$8,IF(B154&lt;=$B$10,$C$11,IF(B157&lt;=$B$13,$C$14,$C$17))))</f>
        <v>1/2 CY tractor loader/backhoe</v>
      </c>
      <c r="D155" s="147">
        <f>+IF($B154&lt;=$B$4,D77,IF($B154&lt;=$B$7,D80,IF($B154&lt;=$B$10,D83,IF($B154&lt;=$B$13,D86,D89))))</f>
        <v>4.85</v>
      </c>
    </row>
    <row r="156" spans="1:4" ht="12.75">
      <c r="A156" s="89"/>
      <c r="C156" s="142" t="str">
        <f>+IF(B154&lt;=$B$4,$C$6,IF(B154&lt;=$B$7,$C$9,IF(B154&lt;=$B$10,$C$12,IF(B154&lt;=$B$13,$C$15,$C$18))))</f>
        <v>-NA-</v>
      </c>
      <c r="D156" s="147">
        <f>+IF($B154&lt;=$B$4,D78,IF($B154&lt;=$B$7,D81,IF($B154&lt;=$B$10,D84,IF($B154&lt;=$B$13,D87,D90))))</f>
        <v>0</v>
      </c>
    </row>
    <row r="157" spans="1:4" ht="12.75">
      <c r="A157" s="89" t="s">
        <v>438</v>
      </c>
      <c r="C157" s="142" t="str">
        <f>+IF(B157&lt;=$B$4,$C$4,IF(B157&lt;=$B$7,$C$7,IF(B157&lt;=$B$10,$C$10,IF(B157&lt;=$B$13,$C$13,$C$16))))</f>
        <v>3/8 CY tractor loader/backhoe</v>
      </c>
      <c r="D157" s="147">
        <f>+IF($B157&lt;=$B$4,D79,IF($B157&lt;=$B$7,D82,IF($B157&lt;=$B$10,D85,IF($B157&lt;=$B$13,D88,D91))))</f>
        <v>6.3</v>
      </c>
    </row>
    <row r="158" spans="1:4" ht="12.75">
      <c r="A158" s="89"/>
      <c r="C158" s="142" t="str">
        <f>+IF(B157&lt;=$B$4,$C$5,IF(B157&lt;=$B$7,$C$8,IF(B157&lt;=$B$10,$C$11,IF(B160&lt;=$B$13,$C$14,$C$17))))</f>
        <v>1/2 CY tractor loader/backhoe</v>
      </c>
      <c r="D158" s="147">
        <f>+IF($B157&lt;=$B$4,D80,IF($B157&lt;=$B$7,D83,IF($B157&lt;=$B$10,D86,IF($B157&lt;=$B$13,D89,D92))))</f>
        <v>4.85</v>
      </c>
    </row>
    <row r="159" spans="1:4" ht="12.75">
      <c r="A159" s="89"/>
      <c r="C159" s="142" t="str">
        <f>+IF(B157&lt;=$B$4,$C$6,IF(B157&lt;=$B$7,$C$9,IF(B157&lt;=$B$10,$C$12,IF(B157&lt;=$B$13,$C$15,$C$18))))</f>
        <v>-NA-</v>
      </c>
      <c r="D159" s="147">
        <f>+IF($B157&lt;=$B$4,D81,IF($B157&lt;=$B$7,D84,IF($B157&lt;=$B$10,D87,IF($B157&lt;=$B$13,D90,D93))))</f>
        <v>0</v>
      </c>
    </row>
    <row r="160" spans="1:4" ht="12.75">
      <c r="A160" s="89" t="s">
        <v>439</v>
      </c>
      <c r="C160" s="142" t="str">
        <f>+IF(B160&lt;=$B$4,$C$4,IF(B160&lt;=$B$7,$C$7,IF(B160&lt;=$B$10,$C$10,IF(B160&lt;=$B$13,$C$13,$C$16))))</f>
        <v>3/8 CY tractor loader/backhoe</v>
      </c>
      <c r="D160" s="147">
        <f>+IF($B160&lt;=$B$4,D82,IF($B160&lt;=$B$7,D85,IF($B160&lt;=$B$10,D88,IF($B160&lt;=$B$13,D91,D94))))</f>
        <v>6.3</v>
      </c>
    </row>
    <row r="161" spans="1:4" ht="12.75">
      <c r="A161" s="89"/>
      <c r="C161" s="142" t="str">
        <f>+IF(B160&lt;=$B$4,$C$5,IF(B160&lt;=$B$7,$C$8,IF(B160&lt;=$B$10,$C$11,IF(B163&lt;=$B$13,$C$14,$C$17))))</f>
        <v>1/2 CY tractor loader/backhoe</v>
      </c>
      <c r="D161" s="147">
        <f>+IF($B160&lt;=$B$4,D83,IF($B160&lt;=$B$7,D86,IF($B160&lt;=$B$10,D89,IF($B160&lt;=$B$13,D92,D95))))</f>
        <v>4.85</v>
      </c>
    </row>
    <row r="162" spans="1:4" ht="12.75">
      <c r="A162" s="89"/>
      <c r="C162" s="142" t="str">
        <f>+IF(B160&lt;=$B$4,$C$6,IF(B160&lt;=$B$7,$C$9,IF(B160&lt;=$B$10,$C$12,IF(B160&lt;=$B$13,$C$15,$C$18))))</f>
        <v>-NA-</v>
      </c>
      <c r="D162" s="147">
        <f>+IF($B160&lt;=$B$4,D84,IF($B160&lt;=$B$7,D87,IF($B160&lt;=$B$10,D90,IF($B160&lt;=$B$13,D93,D96))))</f>
        <v>0</v>
      </c>
    </row>
    <row r="163" spans="1:4" ht="12.75">
      <c r="A163" s="89" t="s">
        <v>440</v>
      </c>
      <c r="C163" s="142" t="str">
        <f>+IF(B163&lt;=$B$4,$C$4,IF(B163&lt;=$B$7,$C$7,IF(B163&lt;=$B$10,$C$10,IF(B163&lt;=$B$13,$C$13,$C$16))))</f>
        <v>3/8 CY tractor loader/backhoe</v>
      </c>
      <c r="D163" s="147">
        <f>+IF($B163&lt;=$B$4,D85,IF($B163&lt;=$B$7,D88,IF($B163&lt;=$B$10,D91,IF($B163&lt;=$B$13,D94,D97))))</f>
        <v>4.85</v>
      </c>
    </row>
    <row r="164" spans="1:4" ht="12.75">
      <c r="A164" s="89"/>
      <c r="C164" s="142" t="str">
        <f>+IF(B163&lt;=$B$4,$C$5,IF(B163&lt;=$B$7,$C$8,IF(B163&lt;=$B$10,$C$11,IF(B166&lt;=$B$13,$C$14,$C$17))))</f>
        <v>1/2 CY tractor loader/backhoe</v>
      </c>
      <c r="D164" s="147">
        <f>+IF($B163&lt;=$B$4,D86,IF($B163&lt;=$B$7,D89,IF($B163&lt;=$B$10,D92,IF($B163&lt;=$B$13,D95,D98))))</f>
        <v>4.94</v>
      </c>
    </row>
    <row r="165" spans="1:4" ht="12.75">
      <c r="A165" s="89"/>
      <c r="C165" s="142" t="str">
        <f>+IF(B163&lt;=$B$4,$C$6,IF(B163&lt;=$B$7,$C$9,IF(B163&lt;=$B$10,$C$12,IF(B163&lt;=$B$13,$C$15,$C$18))))</f>
        <v>-NA-</v>
      </c>
      <c r="D165" s="147">
        <f>+IF($B163&lt;=$B$4,D87,IF($B163&lt;=$B$7,D90,IF($B163&lt;=$B$10,D93,IF($B163&lt;=$B$13,D96,D99))))</f>
        <v>4.27</v>
      </c>
    </row>
    <row r="166" spans="1:4" ht="12.75">
      <c r="A166" s="89" t="s">
        <v>441</v>
      </c>
      <c r="C166" s="142" t="str">
        <f>+IF(B166&lt;=$B$4,$C$4,IF(B166&lt;=$B$7,$C$7,IF(B166&lt;=$B$10,$C$10,IF(B166&lt;=$B$13,$C$13,$C$16))))</f>
        <v>3/8 CY tractor loader/backhoe</v>
      </c>
      <c r="D166" s="147">
        <f>+IF($B166&lt;=$B$4,D88,IF($B166&lt;=$B$7,D91,IF($B166&lt;=$B$10,D94,IF($B166&lt;=$B$13,D97,D100))))</f>
        <v>5.7</v>
      </c>
    </row>
    <row r="167" spans="1:4" ht="12.75">
      <c r="A167" s="89"/>
      <c r="C167" s="142" t="str">
        <f>+IF(B166&lt;=$B$4,$C$5,IF(B166&lt;=$B$7,$C$8,IF(B166&lt;=$B$10,$C$11,IF(B169&lt;=$B$13,$C$14,$C$17))))</f>
        <v>1/2 CY tractor loader/backhoe</v>
      </c>
      <c r="D167" s="147">
        <f>+IF($B166&lt;=$B$4,D89,IF($B166&lt;=$B$7,D92,IF($B166&lt;=$B$10,D95,IF($B166&lt;=$B$13,D98,D101))))</f>
        <v>3.32</v>
      </c>
    </row>
    <row r="168" spans="1:4" ht="12.75">
      <c r="A168" s="89"/>
      <c r="C168" s="142" t="str">
        <f>+IF(B166&lt;=$B$4,$C$6,IF(B166&lt;=$B$7,$C$9,IF(B166&lt;=$B$10,$C$12,IF(B166&lt;=$B$13,$C$15,$C$18))))</f>
        <v>-NA-</v>
      </c>
      <c r="D168" s="147">
        <f>+IF($B166&lt;=$B$4,D90,IF($B166&lt;=$B$7,D93,IF($B166&lt;=$B$10,D96,IF($B166&lt;=$B$13,D99,D102))))</f>
        <v>2.59</v>
      </c>
    </row>
    <row r="169" spans="1:4" ht="12.75">
      <c r="A169" s="89" t="s">
        <v>442</v>
      </c>
      <c r="C169" s="142" t="str">
        <f>+IF(B169&lt;=$B$4,$C$4,IF(B169&lt;=$B$7,$C$7,IF(B169&lt;=$B$10,$C$10,IF(B169&lt;=$B$13,$C$13,$C$16))))</f>
        <v>3/8 CY tractor loader/backhoe</v>
      </c>
      <c r="D169" s="147">
        <f>+IF($B169&lt;=$B$4,D91,IF($B169&lt;=$B$7,D94,IF($B169&lt;=$B$10,D97,IF($B169&lt;=$B$13,D100,D103))))</f>
        <v>6.4</v>
      </c>
    </row>
    <row r="170" spans="1:4" ht="12.75">
      <c r="A170" s="89"/>
      <c r="C170" s="142" t="str">
        <f>+IF(B169&lt;=$B$4,$C$5,IF(B169&lt;=$B$7,$C$8,IF(B169&lt;=$B$10,$C$11,IF(B172&lt;=$B$13,$C$14,$C$17))))</f>
        <v>1/2 CY tractor loader/backhoe</v>
      </c>
      <c r="D170" s="147">
        <f>+IF($B169&lt;=$B$4,D92,IF($B169&lt;=$B$7,D95,IF($B169&lt;=$B$10,D98,IF($B169&lt;=$B$13,D101,D104))))</f>
        <v>3.69</v>
      </c>
    </row>
    <row r="171" spans="1:4" ht="12.75">
      <c r="A171" s="89"/>
      <c r="C171" s="142" t="str">
        <f>+IF(B169&lt;=$B$4,$C$6,IF(B169&lt;=$B$7,$C$9,IF(B169&lt;=$B$10,$C$12,IF(B169&lt;=$B$13,$C$15,$C$18))))</f>
        <v>-NA-</v>
      </c>
      <c r="D171" s="147">
        <f>+IF($B169&lt;=$B$4,D93,IF($B169&lt;=$B$7,D96,IF($B169&lt;=$B$10,D99,IF($B169&lt;=$B$13,D102,D105))))</f>
        <v>2.87</v>
      </c>
    </row>
    <row r="172" spans="1:4" ht="12.75">
      <c r="A172" s="89" t="s">
        <v>443</v>
      </c>
      <c r="C172" s="142" t="str">
        <f>+IF(B172&lt;=$B$4,$C$4,IF(B172&lt;=$B$7,$C$7,IF(B172&lt;=$B$10,$C$10,IF(B172&lt;=$B$13,$C$13,$C$16))))</f>
        <v>3/8 CY tractor loader/backhoe</v>
      </c>
      <c r="D172" s="147">
        <f>+IF($B172&lt;=$B$4,D94,IF($B172&lt;=$B$7,D97,IF($B172&lt;=$B$10,D100,IF($B172&lt;=$B$13,D103,D106))))</f>
        <v>4.15</v>
      </c>
    </row>
    <row r="173" spans="1:4" ht="12.75">
      <c r="A173" s="89"/>
      <c r="C173" s="142" t="str">
        <f>+IF(B172&lt;=$B$4,$C$5,IF(B172&lt;=$B$7,$C$8,IF(B172&lt;=$B$10,$C$11,IF(B175&lt;=$B$13,$C$14,$C$17))))</f>
        <v>1/2 CY tractor loader/backhoe</v>
      </c>
      <c r="D173" s="147">
        <f>+IF($B172&lt;=$B$4,D95,IF($B172&lt;=$B$7,D98,IF($B172&lt;=$B$10,D101,IF($B172&lt;=$B$13,D104,D107))))</f>
        <v>3.23</v>
      </c>
    </row>
    <row r="174" spans="1:4" ht="12.75">
      <c r="A174" s="89"/>
      <c r="C174" s="142" t="str">
        <f>+IF(B172&lt;=$B$4,$C$6,IF(B172&lt;=$B$7,$C$9,IF(B172&lt;=$B$10,$C$12,IF(B172&lt;=$B$13,$C$15,$C$18))))</f>
        <v>-NA-</v>
      </c>
      <c r="D174" s="147">
        <f>+IF($B172&lt;=$B$4,D96,IF($B172&lt;=$B$7,D99,IF($B172&lt;=$B$10,D102,IF($B172&lt;=$B$13,D105,D108))))</f>
        <v>2.67</v>
      </c>
    </row>
    <row r="175" spans="1:4" ht="12.75">
      <c r="A175" s="64" t="s">
        <v>444</v>
      </c>
      <c r="C175" s="142" t="str">
        <f>+IF(B175&lt;=$B$4,$C$4,IF(B175&lt;=$B$7,$C$7,IF(B175&lt;=$B$10,$C$10,IF(B175&lt;=$B$13,$C$13,$C$16))))</f>
        <v>3/8 CY tractor loader/backhoe</v>
      </c>
      <c r="D175" s="147">
        <f>+IF($B175&lt;=$B$4,D97,IF($B175&lt;=$B$7,D100,IF($B175&lt;=$B$10,D103,IF($B175&lt;=$B$13,D106,D109))))</f>
        <v>0</v>
      </c>
    </row>
    <row r="176" spans="1:4" ht="12.75">
      <c r="A176" s="64"/>
      <c r="C176" s="142" t="str">
        <f>+IF(B175&lt;=$B$4,$C$5,IF(B175&lt;=$B$7,$C$8,IF(B175&lt;=$B$10,$C$11,IF(B178&lt;=$B$13,$C$14,$C$17))))</f>
        <v>1/2 CY tractor loader/backhoe</v>
      </c>
      <c r="D176" s="147">
        <f>+IF($B175&lt;=$B$4,D98,IF($B175&lt;=$B$7,D101,IF($B175&lt;=$B$10,D104,IF($B175&lt;=$B$13,D107,D110))))</f>
        <v>0</v>
      </c>
    </row>
    <row r="177" spans="1:4" ht="12.75">
      <c r="A177" s="64"/>
      <c r="C177" s="142" t="str">
        <f>+IF(B175&lt;=$B$4,$C$6,IF(B175&lt;=$B$7,$C$9,IF(B175&lt;=$B$10,$C$12,IF(B175&lt;=$B$13,$C$15,$C$18))))</f>
        <v>-NA-</v>
      </c>
      <c r="D177" s="147">
        <f>+IF($B175&lt;=$B$4,D99,IF($B175&lt;=$B$7,D102,IF($B175&lt;=$B$10,D105,IF($B175&lt;=$B$13,D108,D111))))</f>
        <v>0</v>
      </c>
    </row>
    <row r="178" spans="1:4" ht="12.75">
      <c r="A178" s="89" t="s">
        <v>445</v>
      </c>
      <c r="C178" s="142" t="str">
        <f>+IF(B178&lt;=$B$4,$C$4,IF(B178&lt;=$B$7,$C$7,IF(B178&lt;=$B$10,$C$10,IF(B178&lt;=$B$13,$C$13,$C$16))))</f>
        <v>3/8 CY tractor loader/backhoe</v>
      </c>
      <c r="D178" s="147">
        <f>+IF($B178&lt;=$B$4,D100,IF($B178&lt;=$B$7,D103,IF($B178&lt;=$B$10,D106,IF($B178&lt;=$B$13,D109,D112))))</f>
        <v>0</v>
      </c>
    </row>
    <row r="179" spans="1:4" ht="12.75">
      <c r="A179" s="89"/>
      <c r="C179" s="142" t="str">
        <f>+IF(B178&lt;=$B$4,$C$5,IF(B178&lt;=$B$7,$C$8,IF(B178&lt;=$B$10,$C$11,IF(B181&lt;=$B$13,$C$14,$C$17))))</f>
        <v>1/2 CY tractor loader/backhoe</v>
      </c>
      <c r="D179" s="147">
        <f>+IF($B178&lt;=$B$4,D101,IF($B178&lt;=$B$7,D104,IF($B178&lt;=$B$10,D107,IF($B178&lt;=$B$13,D110,D113))))</f>
        <v>0</v>
      </c>
    </row>
    <row r="180" spans="1:4" ht="12.75">
      <c r="A180" s="89"/>
      <c r="C180" s="142" t="str">
        <f>+IF(B178&lt;=$B$4,$C$6,IF(B178&lt;=$B$7,$C$9,IF(B178&lt;=$B$10,$C$12,IF(B178&lt;=$B$13,$C$15,$C$18))))</f>
        <v>-NA-</v>
      </c>
      <c r="D180" s="147">
        <f>+IF($B178&lt;=$B$4,D102,IF($B178&lt;=$B$7,D105,IF($B178&lt;=$B$10,D108,IF($B178&lt;=$B$13,D111,D114))))</f>
        <v>0</v>
      </c>
    </row>
    <row r="181" spans="1:4" ht="12.75">
      <c r="A181" s="89" t="s">
        <v>446</v>
      </c>
      <c r="C181" s="142" t="str">
        <f>+IF(B181&lt;=$B$4,$C$4,IF(B181&lt;=$B$7,$C$7,IF(B181&lt;=$B$10,$C$10,IF(B181&lt;=$B$13,$C$13,$C$16))))</f>
        <v>3/8 CY tractor loader/backhoe</v>
      </c>
      <c r="D181" s="147">
        <f>+IF($B181&lt;=$B$4,D103,IF($B181&lt;=$B$7,D106,IF($B181&lt;=$B$10,D109,IF($B181&lt;=$B$13,D112,D115))))</f>
        <v>6.3</v>
      </c>
    </row>
    <row r="182" spans="1:4" ht="12.75">
      <c r="A182" s="89"/>
      <c r="C182" s="142" t="str">
        <f>+IF(B181&lt;=$B$4,$C$5,IF(B181&lt;=$B$7,$C$8,IF(B181&lt;=$B$10,$C$11,IF(B184&lt;=$B$13,$C$14,$C$17))))</f>
        <v>1/2 CY tractor loader/backhoe</v>
      </c>
      <c r="D182" s="147">
        <f>+IF($B181&lt;=$B$4,D104,IF($B181&lt;=$B$7,D107,IF($B181&lt;=$B$10,D110,IF($B181&lt;=$B$13,D113,D116))))</f>
        <v>4.85</v>
      </c>
    </row>
    <row r="183" spans="1:4" ht="12.75">
      <c r="A183" s="89"/>
      <c r="C183" s="142" t="str">
        <f>+IF(B181&lt;=$B$4,$C$6,IF(B181&lt;=$B$7,$C$9,IF(B181&lt;=$B$10,$C$12,IF(B181&lt;=$B$13,$C$15,$C$18))))</f>
        <v>-NA-</v>
      </c>
      <c r="D183" s="147">
        <f>+IF($B181&lt;=$B$4,D105,IF($B181&lt;=$B$7,D108,IF($B181&lt;=$B$10,D111,IF($B181&lt;=$B$13,D114,D117))))</f>
        <v>0</v>
      </c>
    </row>
    <row r="184" spans="1:4" ht="12.75">
      <c r="A184" s="89" t="s">
        <v>447</v>
      </c>
      <c r="C184" s="142" t="str">
        <f>+IF(B184&lt;=$B$4,$C$4,IF(B184&lt;=$B$7,$C$7,IF(B184&lt;=$B$10,$C$10,IF(B184&lt;=$B$13,$C$13,$C$16))))</f>
        <v>3/8 CY tractor loader/backhoe</v>
      </c>
      <c r="D184" s="147">
        <f>+IF($B184&lt;=$B$4,D106,IF($B184&lt;=$B$7,D109,IF($B184&lt;=$B$10,D112,IF($B184&lt;=$B$13,D115,D118))))</f>
        <v>6.3</v>
      </c>
    </row>
    <row r="185" spans="1:4" ht="12.75">
      <c r="A185" s="89"/>
      <c r="C185" s="142" t="str">
        <f>+IF(B184&lt;=$B$4,$C$5,IF(B184&lt;=$B$7,$C$8,IF(B184&lt;=$B$10,$C$11,IF(B187&lt;=$B$13,$C$14,$C$17))))</f>
        <v>1/2 CY tractor loader/backhoe</v>
      </c>
      <c r="D185" s="147">
        <f>+IF($B184&lt;=$B$4,D107,IF($B184&lt;=$B$7,D110,IF($B184&lt;=$B$10,D113,IF($B184&lt;=$B$13,D116,D119))))</f>
        <v>4.85</v>
      </c>
    </row>
    <row r="186" spans="1:4" ht="12.75">
      <c r="A186" s="89"/>
      <c r="C186" s="142" t="str">
        <f>+IF(B184&lt;=$B$4,$C$6,IF(B184&lt;=$B$7,$C$9,IF(B184&lt;=$B$10,$C$12,IF(B184&lt;=$B$13,$C$15,$C$18))))</f>
        <v>-NA-</v>
      </c>
      <c r="D186" s="147">
        <f>+IF($B184&lt;=$B$4,D108,IF($B184&lt;=$B$7,D111,IF($B184&lt;=$B$10,D114,IF($B184&lt;=$B$13,D117,D120))))</f>
        <v>0</v>
      </c>
    </row>
    <row r="187" spans="1:4" ht="12.75">
      <c r="A187" s="89" t="s">
        <v>448</v>
      </c>
      <c r="C187" s="142" t="str">
        <f>+IF(B187&lt;=$B$4,$C$4,IF(B187&lt;=$B$7,$C$7,IF(B187&lt;=$B$10,$C$10,IF(B187&lt;=$B$13,$C$13,$C$16))))</f>
        <v>3/8 CY tractor loader/backhoe</v>
      </c>
      <c r="D187" s="147">
        <f>+IF($B187&lt;=$B$4,D109,IF($B187&lt;=$B$7,D112,IF($B187&lt;=$B$10,D115,IF($B187&lt;=$B$13,D118,D121))))</f>
        <v>6.3</v>
      </c>
    </row>
    <row r="188" spans="1:4" ht="12.75">
      <c r="A188" s="89"/>
      <c r="C188" s="142" t="str">
        <f>+IF(B187&lt;=$B$4,$C$5,IF(B187&lt;=$B$7,$C$8,IF(B187&lt;=$B$10,$C$11,IF(B190&lt;=$B$13,$C$14,$C$17))))</f>
        <v>1/2 CY tractor loader/backhoe</v>
      </c>
      <c r="D188" s="147">
        <f>+IF($B187&lt;=$B$4,D110,IF($B187&lt;=$B$7,D113,IF($B187&lt;=$B$10,D116,IF($B187&lt;=$B$13,D119,D122))))</f>
        <v>4.85</v>
      </c>
    </row>
    <row r="189" spans="1:4" ht="12.75">
      <c r="A189" s="89"/>
      <c r="C189" s="142" t="str">
        <f>+IF(B187&lt;=$B$4,$C$6,IF(B187&lt;=$B$7,$C$9,IF(B187&lt;=$B$10,$C$12,IF(B187&lt;=$B$13,$C$15,$C$18))))</f>
        <v>-NA-</v>
      </c>
      <c r="D189" s="147">
        <f>+IF($B187&lt;=$B$4,D111,IF($B187&lt;=$B$7,D114,IF($B187&lt;=$B$10,D117,IF($B187&lt;=$B$13,D120,D123))))</f>
        <v>0</v>
      </c>
    </row>
    <row r="190" spans="1:4" ht="12.75">
      <c r="A190" s="89" t="s">
        <v>449</v>
      </c>
      <c r="C190" s="142" t="str">
        <f>+IF(B190&lt;=$B$4,$C$4,IF(B190&lt;=$B$7,$C$7,IF(B190&lt;=$B$10,$C$10,IF(B190&lt;=$B$13,$C$13,$C$16))))</f>
        <v>3/8 CY tractor loader/backhoe</v>
      </c>
      <c r="D190" s="147">
        <f>+IF($B190&lt;=$B$4,D112,IF($B190&lt;=$B$7,D115,IF($B190&lt;=$B$10,D118,IF($B190&lt;=$B$13,D121,D124))))</f>
        <v>6.3</v>
      </c>
    </row>
    <row r="191" spans="1:4" ht="12.75">
      <c r="A191" s="89"/>
      <c r="C191" s="142" t="str">
        <f>+IF(B190&lt;=$B$4,$C$5,IF(B190&lt;=$B$7,$C$8,IF(B190&lt;=$B$10,$C$11,IF(B193&lt;=$B$13,$C$14,$C$17))))</f>
        <v>1/2 CY tractor loader/backhoe</v>
      </c>
      <c r="D191" s="147">
        <f>+IF($B190&lt;=$B$4,D113,IF($B190&lt;=$B$7,D116,IF($B190&lt;=$B$10,D119,IF($B190&lt;=$B$13,D122,D125))))</f>
        <v>4.85</v>
      </c>
    </row>
    <row r="192" spans="1:4" ht="12.75">
      <c r="A192" s="89"/>
      <c r="C192" s="142" t="str">
        <f>+IF(B190&lt;=$B$4,$C$6,IF(B190&lt;=$B$7,$C$9,IF(B190&lt;=$B$10,$C$12,IF(B190&lt;=$B$13,$C$15,$C$18))))</f>
        <v>-NA-</v>
      </c>
      <c r="D192" s="147">
        <f>+IF($B190&lt;=$B$4,D114,IF($B190&lt;=$B$7,D117,IF($B190&lt;=$B$10,D120,IF($B190&lt;=$B$13,D123,D126))))</f>
        <v>0</v>
      </c>
    </row>
    <row r="193" spans="1:4" ht="12.75">
      <c r="A193" s="89" t="s">
        <v>450</v>
      </c>
      <c r="C193" s="142" t="str">
        <f>+IF(B193&lt;=$B$4,$C$4,IF(B193&lt;=$B$7,$C$7,IF(B193&lt;=$B$10,$C$10,IF(B193&lt;=$B$13,$C$13,$C$16))))</f>
        <v>3/8 CY tractor loader/backhoe</v>
      </c>
      <c r="D193" s="147">
        <f>+IF($B193&lt;=$B$4,D115,IF($B193&lt;=$B$7,D118,IF($B193&lt;=$B$10,D121,IF($B193&lt;=$B$13,D124,D127))))</f>
        <v>6.3</v>
      </c>
    </row>
    <row r="194" spans="1:4" ht="12.75">
      <c r="A194" s="89"/>
      <c r="C194" s="142" t="str">
        <f>+IF(B193&lt;=$B$4,$C$5,IF(B193&lt;=$B$7,$C$8,IF(B193&lt;=$B$10,$C$11,IF(B196&lt;=$B$13,$C$14,$C$17))))</f>
        <v>1/2 CY tractor loader/backhoe</v>
      </c>
      <c r="D194" s="147">
        <f>+IF($B193&lt;=$B$4,D116,IF($B193&lt;=$B$7,D119,IF($B193&lt;=$B$10,D122,IF($B193&lt;=$B$13,D125,D128))))</f>
        <v>4.85</v>
      </c>
    </row>
    <row r="195" spans="1:4" ht="12.75">
      <c r="A195" s="89"/>
      <c r="C195" s="142" t="str">
        <f>+IF(B193&lt;=$B$4,$C$6,IF(B193&lt;=$B$7,$C$9,IF(B193&lt;=$B$10,$C$12,IF(B193&lt;=$B$13,$C$15,$C$18))))</f>
        <v>-NA-</v>
      </c>
      <c r="D195" s="147">
        <f>+IF($B193&lt;=$B$4,D117,IF($B193&lt;=$B$7,D120,IF($B193&lt;=$B$10,D123,IF($B193&lt;=$B$13,D126,D129))))</f>
        <v>0</v>
      </c>
    </row>
    <row r="196" spans="1:4" ht="12.75">
      <c r="A196" s="89" t="s">
        <v>451</v>
      </c>
      <c r="C196" s="142" t="str">
        <f>+IF(B196&lt;=$B$4,$C$4,IF(B196&lt;=$B$7,$C$7,IF(B196&lt;=$B$10,$C$10,IF(B196&lt;=$B$13,$C$13,$C$16))))</f>
        <v>3/8 CY tractor loader/backhoe</v>
      </c>
      <c r="D196" s="147">
        <f>+IF($B196&lt;=$B$4,D118,IF($B196&lt;=$B$7,D121,IF($B196&lt;=$B$10,D124,IF($B196&lt;=$B$13,D127,D130))))</f>
        <v>6.3</v>
      </c>
    </row>
    <row r="197" spans="1:4" ht="12.75">
      <c r="A197" s="89"/>
      <c r="C197" s="142" t="str">
        <f>+IF(B196&lt;=$B$4,$C$5,IF(B196&lt;=$B$7,$C$8,IF(B196&lt;=$B$10,$C$11,IF(B199&lt;=$B$13,$C$14,$C$17))))</f>
        <v>1/2 CY tractor loader/backhoe</v>
      </c>
      <c r="D197" s="147">
        <f>+IF($B196&lt;=$B$4,D119,IF($B196&lt;=$B$7,D122,IF($B196&lt;=$B$10,D125,IF($B196&lt;=$B$13,D128,D131))))</f>
        <v>4.85</v>
      </c>
    </row>
    <row r="198" spans="1:4" ht="12.75">
      <c r="A198" s="89"/>
      <c r="C198" s="142" t="str">
        <f>+IF(B196&lt;=$B$4,$C$6,IF(B196&lt;=$B$7,$C$9,IF(B196&lt;=$B$10,$C$12,IF(B196&lt;=$B$13,$C$15,$C$18))))</f>
        <v>-NA-</v>
      </c>
      <c r="D198" s="147">
        <f>+IF($B196&lt;=$B$4,D120,IF($B196&lt;=$B$7,D123,IF($B196&lt;=$B$10,D126,IF($B196&lt;=$B$13,D129,D132))))</f>
        <v>0</v>
      </c>
    </row>
    <row r="199" spans="1:4" ht="12.75">
      <c r="A199" s="89" t="s">
        <v>452</v>
      </c>
      <c r="C199" s="142" t="str">
        <f>+IF(B199&lt;=$B$4,$C$4,IF(B199&lt;=$B$7,$C$7,IF(B199&lt;=$B$10,$C$10,IF(B199&lt;=$B$13,$C$13,$C$16))))</f>
        <v>3/8 CY tractor loader/backhoe</v>
      </c>
      <c r="D199" s="147">
        <f>+IF($B199&lt;=$B$4,D121,IF($B199&lt;=$B$7,D124,IF($B199&lt;=$B$10,D127,IF($B199&lt;=$B$13,D130,D133))))</f>
        <v>6.3</v>
      </c>
    </row>
    <row r="200" spans="1:4" ht="12.75">
      <c r="A200" s="89"/>
      <c r="C200" s="142" t="str">
        <f>+IF(B199&lt;=$B$4,$C$5,IF(B199&lt;=$B$7,$C$8,IF(B199&lt;=$B$10,$C$11,IF(B202&lt;=$B$13,$C$14,$C$17))))</f>
        <v>1/2 CY tractor loader/backhoe</v>
      </c>
      <c r="D200" s="147">
        <f>+IF($B199&lt;=$B$4,D122,IF($B199&lt;=$B$7,D125,IF($B199&lt;=$B$10,D128,IF($B199&lt;=$B$13,D131,D134))))</f>
        <v>4.85</v>
      </c>
    </row>
    <row r="201" spans="1:4" ht="12.75">
      <c r="A201" s="89"/>
      <c r="C201" s="142" t="str">
        <f>+IF(B199&lt;=$B$4,$C$6,IF(B199&lt;=$B$7,$C$9,IF(B199&lt;=$B$10,$C$12,IF(B199&lt;=$B$13,$C$15,$C$18))))</f>
        <v>-NA-</v>
      </c>
      <c r="D201" s="147">
        <f>+IF($B199&lt;=$B$4,D123,IF($B199&lt;=$B$7,D126,IF($B199&lt;=$B$10,D129,IF($B199&lt;=$B$13,D132,D135))))</f>
        <v>0</v>
      </c>
    </row>
    <row r="202" spans="1:4" ht="12.75">
      <c r="A202" s="89" t="s">
        <v>453</v>
      </c>
      <c r="C202" s="142" t="str">
        <f>+IF(B202&lt;=$B$4,$C$4,IF(B202&lt;=$B$7,$C$7,IF(B202&lt;=$B$10,$C$10,IF(B202&lt;=$B$13,$C$13,$C$16))))</f>
        <v>3/8 CY tractor loader/backhoe</v>
      </c>
      <c r="D202" s="147">
        <f>+IF($B202&lt;=$B$4,D124,IF($B202&lt;=$B$7,D127,IF($B202&lt;=$B$10,D130,IF($B202&lt;=$B$13,D133,D136))))</f>
        <v>6.3</v>
      </c>
    </row>
    <row r="203" spans="1:4" ht="12.75">
      <c r="A203" s="89"/>
      <c r="C203" s="142" t="str">
        <f>+IF(B202&lt;=$B$4,$C$5,IF(B202&lt;=$B$7,$C$8,IF(B202&lt;=$B$10,$C$11,IF(B205&lt;=$B$13,$C$14,$C$17))))</f>
        <v>1/2 CY tractor loader/backhoe</v>
      </c>
      <c r="D203" s="147">
        <f>+IF($B202&lt;=$B$4,D125,IF($B202&lt;=$B$7,D128,IF($B202&lt;=$B$10,D131,IF($B202&lt;=$B$13,D134,D137))))</f>
        <v>4.85</v>
      </c>
    </row>
    <row r="204" spans="1:4" ht="12.75">
      <c r="A204" s="89"/>
      <c r="C204" s="142" t="str">
        <f>+IF(B202&lt;=$B$4,$C$6,IF(B202&lt;=$B$7,$C$9,IF(B202&lt;=$B$10,$C$12,IF(B202&lt;=$B$13,$C$15,$C$18))))</f>
        <v>-NA-</v>
      </c>
      <c r="D204" s="147">
        <f>+IF($B202&lt;=$B$4,D126,IF($B202&lt;=$B$7,D129,IF($B202&lt;=$B$10,D132,IF($B202&lt;=$B$13,D135,D138))))</f>
        <v>0</v>
      </c>
    </row>
    <row r="205" spans="1:4" ht="12.75">
      <c r="A205" s="64" t="s">
        <v>454</v>
      </c>
      <c r="C205" s="142" t="str">
        <f>+IF(B205&lt;=$B$4,$C$4,IF(B205&lt;=$B$7,$C$7,IF(B205&lt;=$B$10,$C$10,IF(B205&lt;=$B$13,$C$13,$C$16))))</f>
        <v>3/8 CY tractor loader/backhoe</v>
      </c>
      <c r="D205" s="147">
        <f>+IF($B205&lt;=$B$4,D127,IF($B205&lt;=$B$7,D130,IF($B205&lt;=$B$10,D133,IF($B205&lt;=$B$13,D136,D139))))</f>
        <v>6.3</v>
      </c>
    </row>
    <row r="206" spans="1:4" ht="12.75">
      <c r="A206" s="64"/>
      <c r="C206" s="142" t="str">
        <f>+IF(B205&lt;=$B$4,$C$5,IF(B205&lt;=$B$7,$C$8,IF(B205&lt;=$B$10,$C$11,IF(B208&lt;=$B$13,$C$14,$C$17))))</f>
        <v>1/2 CY tractor loader/backhoe</v>
      </c>
      <c r="D206" s="147">
        <f>+IF($B205&lt;=$B$4,D128,IF($B205&lt;=$B$7,D131,IF($B205&lt;=$B$10,D134,IF($B205&lt;=$B$13,D137,D140))))</f>
        <v>4.85</v>
      </c>
    </row>
    <row r="207" spans="1:4" ht="12.75">
      <c r="A207" s="64"/>
      <c r="C207" s="142" t="str">
        <f>+IF(B205&lt;=$B$4,$C$6,IF(B205&lt;=$B$7,$C$9,IF(B205&lt;=$B$10,$C$12,IF(B205&lt;=$B$13,$C$15,$C$18))))</f>
        <v>-NA-</v>
      </c>
      <c r="D207" s="147">
        <f>+IF($B205&lt;=$B$4,D129,IF($B205&lt;=$B$7,D132,IF($B205&lt;=$B$10,D135,IF($B205&lt;=$B$13,D138,D141))))</f>
        <v>0</v>
      </c>
    </row>
    <row r="208" spans="1:4" ht="12.75">
      <c r="A208" s="89" t="s">
        <v>455</v>
      </c>
      <c r="C208" s="142" t="str">
        <f>+IF(B208&lt;=$B$4,$C$4,IF(B208&lt;=$B$7,$C$7,IF(B208&lt;=$B$10,$C$10,IF(B208&lt;=$B$13,$C$13,$C$16))))</f>
        <v>3/8 CY tractor loader/backhoe</v>
      </c>
      <c r="D208" s="147">
        <f>+IF($B208&lt;=$B$4,D130,IF($B208&lt;=$B$7,D133,IF($B208&lt;=$B$10,D136,IF($B208&lt;=$B$13,D139,D142))))</f>
        <v>6.3</v>
      </c>
    </row>
    <row r="209" spans="1:4" ht="12.75">
      <c r="A209" s="89"/>
      <c r="C209" s="142" t="str">
        <f>+IF(B208&lt;=$B$4,$C$5,IF(B208&lt;=$B$7,$C$8,IF(B208&lt;=$B$10,$C$11,IF(B211&lt;=$B$13,$C$14,$C$17))))</f>
        <v>1/2 CY tractor loader/backhoe</v>
      </c>
      <c r="D209" s="147">
        <f>+IF($B208&lt;=$B$4,D131,IF($B208&lt;=$B$7,D134,IF($B208&lt;=$B$10,D137,IF($B208&lt;=$B$13,D140,D143))))</f>
        <v>4.85</v>
      </c>
    </row>
    <row r="210" spans="1:4" ht="12.75">
      <c r="A210" s="89"/>
      <c r="C210" s="142" t="str">
        <f>+IF(B208&lt;=$B$4,$C$6,IF(B208&lt;=$B$7,$C$9,IF(B208&lt;=$B$10,$C$12,IF(B208&lt;=$B$13,$C$15,$C$18))))</f>
        <v>-NA-</v>
      </c>
      <c r="D210" s="147">
        <f>+IF($B208&lt;=$B$4,D132,IF($B208&lt;=$B$7,D135,IF($B208&lt;=$B$10,D138,IF($B208&lt;=$B$13,D141,D144))))</f>
        <v>0</v>
      </c>
    </row>
    <row r="211" spans="1:4" ht="12.75">
      <c r="A211" s="89" t="s">
        <v>456</v>
      </c>
      <c r="C211" s="142" t="str">
        <f>+IF(B211&lt;=$B$4,$C$4,IF(B211&lt;=$B$7,$C$7,IF(B211&lt;=$B$10,$C$10,IF(B211&lt;=$B$13,$C$13,$C$16))))</f>
        <v>3/8 CY tractor loader/backhoe</v>
      </c>
      <c r="D211" s="147">
        <f>+IF($B211&lt;=$B$4,D133,IF($B211&lt;=$B$7,D136,IF($B211&lt;=$B$10,D139,IF($B211&lt;=$B$13,D142,D145))))</f>
        <v>6.3</v>
      </c>
    </row>
    <row r="212" spans="1:4" ht="12.75">
      <c r="A212" s="89"/>
      <c r="C212" s="142" t="str">
        <f>+IF(B211&lt;=$B$4,$C$5,IF(B211&lt;=$B$7,$C$8,IF(B211&lt;=$B$10,$C$11,IF(B214&lt;=$B$13,$C$14,$C$17))))</f>
        <v>1/2 CY tractor loader/backhoe</v>
      </c>
      <c r="D212" s="147">
        <f>+IF($B211&lt;=$B$4,D134,IF($B211&lt;=$B$7,D137,IF($B211&lt;=$B$10,D140,IF($B211&lt;=$B$13,D143,D146))))</f>
        <v>4.85</v>
      </c>
    </row>
    <row r="213" spans="1:4" ht="12.75">
      <c r="A213" s="89"/>
      <c r="C213" s="142" t="str">
        <f>+IF(B211&lt;=$B$4,$C$6,IF(B211&lt;=$B$7,$C$9,IF(B211&lt;=$B$10,$C$12,IF(B211&lt;=$B$13,$C$15,$C$18))))</f>
        <v>-NA-</v>
      </c>
      <c r="D213" s="147">
        <f>+IF($B211&lt;=$B$4,D135,IF($B211&lt;=$B$7,D138,IF($B211&lt;=$B$10,D141,IF($B211&lt;=$B$13,D144,D147))))</f>
        <v>0</v>
      </c>
    </row>
    <row r="214" spans="1:4" ht="12.75">
      <c r="A214" s="89" t="s">
        <v>457</v>
      </c>
      <c r="C214" s="142" t="str">
        <f>+IF(B214&lt;=$B$4,$C$4,IF(B214&lt;=$B$7,$C$7,IF(B214&lt;=$B$10,$C$10,IF(B214&lt;=$B$13,$C$13,$C$16))))</f>
        <v>3/8 CY tractor loader/backhoe</v>
      </c>
      <c r="D214" s="147">
        <f>+IF($B214&lt;=$B$4,D136,IF($B214&lt;=$B$7,D139,IF($B214&lt;=$B$10,D142,IF($B214&lt;=$B$13,D145,D148))))</f>
        <v>6.3</v>
      </c>
    </row>
    <row r="215" spans="1:4" ht="12.75">
      <c r="A215" s="89"/>
      <c r="C215" s="142" t="str">
        <f>+IF(B214&lt;=$B$4,$C$5,IF(B214&lt;=$B$7,$C$8,IF(B214&lt;=$B$10,$C$11,IF(B217&lt;=$B$13,$C$14,$C$17))))</f>
        <v>1/2 CY tractor loader/backhoe</v>
      </c>
      <c r="D215" s="147">
        <f>+IF($B214&lt;=$B$4,D137,IF($B214&lt;=$B$7,D140,IF($B214&lt;=$B$10,D143,IF($B214&lt;=$B$13,D146,D149))))</f>
        <v>4.85</v>
      </c>
    </row>
    <row r="216" spans="1:4" ht="12.75">
      <c r="A216" s="89"/>
      <c r="C216" s="142" t="str">
        <f>+IF(B214&lt;=$B$4,$C$6,IF(B214&lt;=$B$7,$C$9,IF(B214&lt;=$B$10,$C$12,IF(B214&lt;=$B$13,$C$15,$C$18))))</f>
        <v>-NA-</v>
      </c>
      <c r="D216" s="147">
        <f>+IF($B214&lt;=$B$4,D138,IF($B214&lt;=$B$7,D141,IF($B214&lt;=$B$10,D144,IF($B214&lt;=$B$13,D147,D150))))</f>
        <v>0</v>
      </c>
    </row>
    <row r="217" spans="1:4" ht="12.75">
      <c r="A217" s="89" t="s">
        <v>458</v>
      </c>
      <c r="C217" s="142" t="str">
        <f>+IF(B217&lt;=$B$4,$C$4,IF(B217&lt;=$B$7,$C$7,IF(B217&lt;=$B$10,$C$10,IF(B217&lt;=$B$13,$C$13,$C$16))))</f>
        <v>3/8 CY tractor loader/backhoe</v>
      </c>
      <c r="D217" s="147">
        <f>+IF($B217&lt;=$B$4,D139,IF($B217&lt;=$B$7,D142,IF($B217&lt;=$B$10,D145,IF($B217&lt;=$B$13,D148,D151))))</f>
        <v>6.3</v>
      </c>
    </row>
    <row r="218" spans="1:4" ht="12.75">
      <c r="A218" s="89"/>
      <c r="C218" s="142" t="str">
        <f>+IF(B217&lt;=$B$4,$C$5,IF(B217&lt;=$B$7,$C$8,IF(B217&lt;=$B$10,$C$11,IF(B220&lt;=$B$13,$C$14,$C$17))))</f>
        <v>1/2 CY tractor loader/backhoe</v>
      </c>
      <c r="D218" s="147">
        <f>+IF($B217&lt;=$B$4,D140,IF($B217&lt;=$B$7,D143,IF($B217&lt;=$B$10,D146,IF($B217&lt;=$B$13,D149,D152))))</f>
        <v>4.85</v>
      </c>
    </row>
    <row r="219" spans="1:4" ht="12.75">
      <c r="A219" s="89"/>
      <c r="C219" s="142" t="str">
        <f>+IF(B217&lt;=$B$4,$C$6,IF(B217&lt;=$B$7,$C$9,IF(B217&lt;=$B$10,$C$12,IF(B217&lt;=$B$13,$C$15,$C$18))))</f>
        <v>-NA-</v>
      </c>
      <c r="D219" s="147">
        <f>+IF($B217&lt;=$B$4,D141,IF($B217&lt;=$B$7,D144,IF($B217&lt;=$B$10,D147,IF($B217&lt;=$B$13,D150,D153))))</f>
        <v>0</v>
      </c>
    </row>
    <row r="220" spans="1:4" ht="12.75">
      <c r="A220" s="89" t="s">
        <v>459</v>
      </c>
      <c r="C220" s="142" t="str">
        <f>+IF(B220&lt;=$B$4,$C$4,IF(B220&lt;=$B$7,$C$7,IF(B220&lt;=$B$10,$C$10,IF(B220&lt;=$B$13,$C$13,$C$16))))</f>
        <v>3/8 CY tractor loader/backhoe</v>
      </c>
      <c r="D220" s="147">
        <f>+IF($B220&lt;=$B$4,D142,IF($B220&lt;=$B$7,D145,IF($B220&lt;=$B$10,D148,IF($B220&lt;=$B$13,D151,D154))))</f>
        <v>6.3</v>
      </c>
    </row>
    <row r="221" spans="1:4" ht="12.75">
      <c r="A221" s="89"/>
      <c r="C221" s="142" t="str">
        <f>+IF(B220&lt;=$B$4,$C$5,IF(B220&lt;=$B$7,$C$8,IF(B220&lt;=$B$10,$C$11,IF(B223&lt;=$B$13,$C$14,$C$17))))</f>
        <v>1/2 CY tractor loader/backhoe</v>
      </c>
      <c r="D221" s="147">
        <f>+IF($B220&lt;=$B$4,D143,IF($B220&lt;=$B$7,D146,IF($B220&lt;=$B$10,D149,IF($B220&lt;=$B$13,D152,D155))))</f>
        <v>4.85</v>
      </c>
    </row>
    <row r="222" spans="1:4" ht="12.75">
      <c r="A222" s="89"/>
      <c r="C222" s="142" t="str">
        <f>+IF(B220&lt;=$B$4,$C$6,IF(B220&lt;=$B$7,$C$9,IF(B220&lt;=$B$10,$C$12,IF(B220&lt;=$B$13,$C$15,$C$18))))</f>
        <v>-NA-</v>
      </c>
      <c r="D222" s="147">
        <f>+IF($B220&lt;=$B$4,D144,IF($B220&lt;=$B$7,D147,IF($B220&lt;=$B$10,D150,IF($B220&lt;=$B$13,D153,D156))))</f>
        <v>0</v>
      </c>
    </row>
    <row r="223" spans="1:4" ht="12.75">
      <c r="A223" s="89" t="s">
        <v>460</v>
      </c>
      <c r="C223" s="142" t="str">
        <f>+IF(B223&lt;=$B$4,$C$4,IF(B223&lt;=$B$7,$C$7,IF(B223&lt;=$B$10,$C$10,IF(B223&lt;=$B$13,$C$13,$C$16))))</f>
        <v>3/8 CY tractor loader/backhoe</v>
      </c>
      <c r="D223" s="147">
        <f>+IF($B223&lt;=$B$4,D145,IF($B223&lt;=$B$7,D148,IF($B223&lt;=$B$10,D151,IF($B223&lt;=$B$13,D154,D157))))</f>
        <v>6.3</v>
      </c>
    </row>
    <row r="224" spans="1:4" ht="12.75">
      <c r="A224" s="89"/>
      <c r="C224" s="142" t="str">
        <f>+IF(B223&lt;=$B$4,$C$5,IF(B223&lt;=$B$7,$C$8,IF(B223&lt;=$B$10,$C$11,IF(B226&lt;=$B$13,$C$14,$C$17))))</f>
        <v>1/2 CY tractor loader/backhoe</v>
      </c>
      <c r="D224" s="147">
        <f>+IF($B223&lt;=$B$4,D146,IF($B223&lt;=$B$7,D149,IF($B223&lt;=$B$10,D152,IF($B223&lt;=$B$13,D155,D158))))</f>
        <v>4.85</v>
      </c>
    </row>
    <row r="225" spans="1:4" ht="12.75">
      <c r="A225" s="89"/>
      <c r="C225" s="142" t="str">
        <f>+IF(B223&lt;=$B$4,$C$6,IF(B223&lt;=$B$7,$C$9,IF(B223&lt;=$B$10,$C$12,IF(B223&lt;=$B$13,$C$15,$C$18))))</f>
        <v>-NA-</v>
      </c>
      <c r="D225" s="147">
        <f>+IF($B223&lt;=$B$4,D147,IF($B223&lt;=$B$7,D150,IF($B223&lt;=$B$10,D153,IF($B223&lt;=$B$13,D156,D159))))</f>
        <v>0</v>
      </c>
    </row>
    <row r="226" spans="1:4" ht="12.75">
      <c r="A226" s="89" t="s">
        <v>461</v>
      </c>
      <c r="C226" s="142" t="str">
        <f>+IF(B226&lt;=$B$4,$C$4,IF(B226&lt;=$B$7,$C$7,IF(B226&lt;=$B$10,$C$10,IF(B226&lt;=$B$13,$C$13,$C$16))))</f>
        <v>3/8 CY tractor loader/backhoe</v>
      </c>
      <c r="D226" s="147">
        <f>+IF($B226&lt;=$B$4,D148,IF($B226&lt;=$B$7,D151,IF($B226&lt;=$B$10,D154,IF($B226&lt;=$B$13,D157,D160))))</f>
        <v>6.3</v>
      </c>
    </row>
    <row r="227" spans="1:4" ht="12.75">
      <c r="A227" s="89"/>
      <c r="C227" s="142" t="str">
        <f>+IF(B226&lt;=$B$4,$C$5,IF(B226&lt;=$B$7,$C$8,IF(B226&lt;=$B$10,$C$11,IF(B229&lt;=$B$13,$C$14,$C$17))))</f>
        <v>1/2 CY tractor loader/backhoe</v>
      </c>
      <c r="D227" s="147">
        <f>+IF($B226&lt;=$B$4,D149,IF($B226&lt;=$B$7,D152,IF($B226&lt;=$B$10,D155,IF($B226&lt;=$B$13,D158,D161))))</f>
        <v>4.85</v>
      </c>
    </row>
    <row r="228" spans="1:4" ht="12.75">
      <c r="A228" s="89"/>
      <c r="C228" s="142" t="str">
        <f>+IF(B226&lt;=$B$4,$C$6,IF(B226&lt;=$B$7,$C$9,IF(B226&lt;=$B$10,$C$12,IF(B226&lt;=$B$13,$C$15,$C$18))))</f>
        <v>-NA-</v>
      </c>
      <c r="D228" s="147">
        <f>+IF($B226&lt;=$B$4,D150,IF($B226&lt;=$B$7,D153,IF($B226&lt;=$B$10,D156,IF($B226&lt;=$B$13,D159,D162))))</f>
        <v>0</v>
      </c>
    </row>
    <row r="229" spans="1:4" ht="12.75">
      <c r="A229" s="89" t="s">
        <v>462</v>
      </c>
      <c r="C229" s="142" t="str">
        <f>+IF(B229&lt;=$B$4,$C$4,IF(B229&lt;=$B$7,$C$7,IF(B229&lt;=$B$10,$C$10,IF(B229&lt;=$B$13,$C$13,$C$16))))</f>
        <v>3/8 CY tractor loader/backhoe</v>
      </c>
      <c r="D229" s="147">
        <f>+IF($B229&lt;=$B$4,D151,IF($B229&lt;=$B$7,D154,IF($B229&lt;=$B$10,D157,IF($B229&lt;=$B$13,D160,D163))))</f>
        <v>6.3</v>
      </c>
    </row>
    <row r="230" spans="1:4" ht="12.75">
      <c r="A230" s="89"/>
      <c r="C230" s="142" t="str">
        <f>+IF(B229&lt;=$B$4,$C$5,IF(B229&lt;=$B$7,$C$8,IF(B229&lt;=$B$10,$C$11,IF(B232&lt;=$B$13,$C$14,$C$17))))</f>
        <v>1/2 CY tractor loader/backhoe</v>
      </c>
      <c r="D230" s="147">
        <f>+IF($B229&lt;=$B$4,D152,IF($B229&lt;=$B$7,D155,IF($B229&lt;=$B$10,D158,IF($B229&lt;=$B$13,D161,D164))))</f>
        <v>4.85</v>
      </c>
    </row>
    <row r="231" spans="1:4" ht="12.75">
      <c r="A231" s="89"/>
      <c r="C231" s="142" t="str">
        <f>+IF(B229&lt;=$B$4,$C$6,IF(B229&lt;=$B$7,$C$9,IF(B229&lt;=$B$10,$C$12,IF(B229&lt;=$B$13,$C$15,$C$18))))</f>
        <v>-NA-</v>
      </c>
      <c r="D231" s="147">
        <f>+IF($B229&lt;=$B$4,D153,IF($B229&lt;=$B$7,D156,IF($B229&lt;=$B$10,D159,IF($B229&lt;=$B$13,D162,D165))))</f>
        <v>0</v>
      </c>
    </row>
    <row r="232" spans="1:4" ht="12.75">
      <c r="A232" s="89" t="s">
        <v>463</v>
      </c>
      <c r="C232" s="142" t="str">
        <f>+IF(B232&lt;=$B$4,$C$4,IF(B232&lt;=$B$7,$C$7,IF(B232&lt;=$B$10,$C$10,IF(B232&lt;=$B$13,$C$13,$C$16))))</f>
        <v>3/8 CY tractor loader/backhoe</v>
      </c>
      <c r="D232" s="147">
        <f>+IF($B232&lt;=$B$4,D154,IF($B232&lt;=$B$7,D157,IF($B232&lt;=$B$10,D160,IF($B232&lt;=$B$13,D163,D166))))</f>
        <v>6.3</v>
      </c>
    </row>
    <row r="233" spans="1:4" ht="12.75">
      <c r="A233" s="89"/>
      <c r="C233" s="142" t="str">
        <f>+IF(B232&lt;=$B$4,$C$5,IF(B232&lt;=$B$7,$C$8,IF(B232&lt;=$B$10,$C$11,IF(B235&lt;=$B$13,$C$14,$C$17))))</f>
        <v>1/2 CY tractor loader/backhoe</v>
      </c>
      <c r="D233" s="147">
        <f>+IF($B232&lt;=$B$4,D155,IF($B232&lt;=$B$7,D158,IF($B232&lt;=$B$10,D161,IF($B232&lt;=$B$13,D164,D167))))</f>
        <v>4.85</v>
      </c>
    </row>
    <row r="234" spans="1:4" ht="12.75">
      <c r="A234" s="89"/>
      <c r="C234" s="142" t="str">
        <f>+IF(B232&lt;=$B$4,$C$6,IF(B232&lt;=$B$7,$C$9,IF(B232&lt;=$B$10,$C$12,IF(B232&lt;=$B$13,$C$15,$C$18))))</f>
        <v>-NA-</v>
      </c>
      <c r="D234" s="147">
        <f>+IF($B232&lt;=$B$4,D156,IF($B232&lt;=$B$7,D159,IF($B232&lt;=$B$10,D162,IF($B232&lt;=$B$13,D165,D168))))</f>
        <v>0</v>
      </c>
    </row>
    <row r="235" spans="1:4" ht="12.75">
      <c r="A235" s="64" t="s">
        <v>464</v>
      </c>
      <c r="C235" s="142" t="str">
        <f>+IF(B235&lt;=$B$4,$C$4,IF(B235&lt;=$B$7,$C$7,IF(B235&lt;=$B$10,$C$10,IF(B235&lt;=$B$13,$C$13,$C$16))))</f>
        <v>3/8 CY tractor loader/backhoe</v>
      </c>
      <c r="D235" s="147">
        <f>+IF($B235&lt;=$B$4,D157,IF($B235&lt;=$B$7,D160,IF($B235&lt;=$B$10,D163,IF($B235&lt;=$B$13,D166,D169))))</f>
        <v>6.3</v>
      </c>
    </row>
    <row r="236" spans="1:4" ht="12.75">
      <c r="A236" s="64"/>
      <c r="C236" s="142" t="str">
        <f>+IF(B235&lt;=$B$4,$C$5,IF(B235&lt;=$B$7,$C$8,IF(B235&lt;=$B$10,$C$11,IF(B238&lt;=$B$13,$C$14,$C$17))))</f>
        <v>1/2 CY tractor loader/backhoe</v>
      </c>
      <c r="D236" s="147">
        <f>+IF($B235&lt;=$B$4,D158,IF($B235&lt;=$B$7,D161,IF($B235&lt;=$B$10,D164,IF($B235&lt;=$B$13,D167,D170))))</f>
        <v>4.85</v>
      </c>
    </row>
    <row r="237" spans="1:4" ht="12.75">
      <c r="A237" s="64"/>
      <c r="C237" s="142" t="str">
        <f>+IF(B235&lt;=$B$4,$C$6,IF(B235&lt;=$B$7,$C$9,IF(B235&lt;=$B$10,$C$12,IF(B235&lt;=$B$13,$C$15,$C$18))))</f>
        <v>-NA-</v>
      </c>
      <c r="D237" s="147">
        <f>+IF($B235&lt;=$B$4,D159,IF($B235&lt;=$B$7,D162,IF($B235&lt;=$B$10,D165,IF($B235&lt;=$B$13,D168,D171))))</f>
        <v>0</v>
      </c>
    </row>
    <row r="238" spans="1:4" ht="12.75">
      <c r="A238" s="89" t="s">
        <v>465</v>
      </c>
      <c r="C238" s="142" t="str">
        <f>+IF(B238&lt;=$B$4,$C$4,IF(B238&lt;=$B$7,$C$7,IF(B238&lt;=$B$10,$C$10,IF(B238&lt;=$B$13,$C$13,$C$16))))</f>
        <v>3/8 CY tractor loader/backhoe</v>
      </c>
      <c r="D238" s="147">
        <f>+IF($B238&lt;=$B$4,D160,IF($B238&lt;=$B$7,D163,IF($B238&lt;=$B$10,D166,IF($B238&lt;=$B$13,D169,D172))))</f>
        <v>6.3</v>
      </c>
    </row>
    <row r="239" spans="1:4" ht="12.75">
      <c r="A239" s="89"/>
      <c r="C239" s="142" t="str">
        <f>+IF(B238&lt;=$B$4,$C$5,IF(B238&lt;=$B$7,$C$8,IF(B238&lt;=$B$10,$C$11,IF(B241&lt;=$B$13,$C$14,$C$17))))</f>
        <v>1/2 CY tractor loader/backhoe</v>
      </c>
      <c r="D239" s="147">
        <f>+IF($B238&lt;=$B$4,D161,IF($B238&lt;=$B$7,D164,IF($B238&lt;=$B$10,D167,IF($B238&lt;=$B$13,D170,D173))))</f>
        <v>4.85</v>
      </c>
    </row>
    <row r="240" spans="1:4" ht="12.75">
      <c r="A240" s="89"/>
      <c r="C240" s="142" t="str">
        <f>+IF(B238&lt;=$B$4,$C$6,IF(B238&lt;=$B$7,$C$9,IF(B238&lt;=$B$10,$C$12,IF(B238&lt;=$B$13,$C$15,$C$18))))</f>
        <v>-NA-</v>
      </c>
      <c r="D240" s="147">
        <f>+IF($B238&lt;=$B$4,D162,IF($B238&lt;=$B$7,D165,IF($B238&lt;=$B$10,D168,IF($B238&lt;=$B$13,D171,D174))))</f>
        <v>0</v>
      </c>
    </row>
    <row r="241" spans="1:4" ht="12.75">
      <c r="A241" s="89" t="s">
        <v>466</v>
      </c>
      <c r="C241" s="142" t="str">
        <f>+IF(B241&lt;=$B$4,$C$4,IF(B241&lt;=$B$7,$C$7,IF(B241&lt;=$B$10,$C$10,IF(B241&lt;=$B$13,$C$13,$C$16))))</f>
        <v>3/8 CY tractor loader/backhoe</v>
      </c>
      <c r="D241" s="147">
        <f>+IF($B241&lt;=$B$4,D163,IF($B241&lt;=$B$7,D166,IF($B241&lt;=$B$10,D169,IF($B241&lt;=$B$13,D172,D175))))</f>
        <v>4.85</v>
      </c>
    </row>
    <row r="242" spans="1:4" ht="12.75">
      <c r="A242" s="89"/>
      <c r="C242" s="142" t="str">
        <f>+IF(B241&lt;=$B$4,$C$5,IF(B241&lt;=$B$7,$C$8,IF(B241&lt;=$B$10,$C$11,IF(B244&lt;=$B$13,$C$14,$C$17))))</f>
        <v>1/2 CY tractor loader/backhoe</v>
      </c>
      <c r="D242" s="147">
        <f>+IF($B241&lt;=$B$4,D164,IF($B241&lt;=$B$7,D167,IF($B241&lt;=$B$10,D170,IF($B241&lt;=$B$13,D173,D176))))</f>
        <v>4.94</v>
      </c>
    </row>
    <row r="243" spans="1:4" ht="12.75">
      <c r="A243" s="89"/>
      <c r="C243" s="142" t="str">
        <f>+IF(B241&lt;=$B$4,$C$6,IF(B241&lt;=$B$7,$C$9,IF(B241&lt;=$B$10,$C$12,IF(B241&lt;=$B$13,$C$15,$C$18))))</f>
        <v>-NA-</v>
      </c>
      <c r="D243" s="147">
        <f>+IF($B241&lt;=$B$4,D165,IF($B241&lt;=$B$7,D168,IF($B241&lt;=$B$10,D171,IF($B241&lt;=$B$13,D174,D177))))</f>
        <v>4.27</v>
      </c>
    </row>
    <row r="244" spans="1:4" ht="12.75">
      <c r="A244" s="89" t="s">
        <v>467</v>
      </c>
      <c r="C244" s="142" t="str">
        <f>+IF(B244&lt;=$B$4,$C$4,IF(B244&lt;=$B$7,$C$7,IF(B244&lt;=$B$10,$C$10,IF(B244&lt;=$B$13,$C$13,$C$16))))</f>
        <v>3/8 CY tractor loader/backhoe</v>
      </c>
      <c r="D244" s="147">
        <f>+IF($B244&lt;=$B$4,D166,IF($B244&lt;=$B$7,D169,IF($B244&lt;=$B$10,D172,IF($B244&lt;=$B$13,D175,D178))))</f>
        <v>5.7</v>
      </c>
    </row>
    <row r="245" spans="1:4" ht="12.75">
      <c r="A245" s="89"/>
      <c r="C245" s="142" t="str">
        <f>+IF(B244&lt;=$B$4,$C$5,IF(B244&lt;=$B$7,$C$8,IF(B244&lt;=$B$10,$C$11,IF(B247&lt;=$B$13,$C$14,$C$17))))</f>
        <v>1/2 CY tractor loader/backhoe</v>
      </c>
      <c r="D245" s="147">
        <f>+IF($B244&lt;=$B$4,D167,IF($B244&lt;=$B$7,D170,IF($B244&lt;=$B$10,D173,IF($B244&lt;=$B$13,D176,D179))))</f>
        <v>3.32</v>
      </c>
    </row>
    <row r="246" spans="1:4" ht="12.75">
      <c r="A246" s="89"/>
      <c r="C246" s="142" t="str">
        <f>+IF(B244&lt;=$B$4,$C$6,IF(B244&lt;=$B$7,$C$9,IF(B244&lt;=$B$10,$C$12,IF(B244&lt;=$B$13,$C$15,$C$18))))</f>
        <v>-NA-</v>
      </c>
      <c r="D246" s="147">
        <f>+IF($B244&lt;=$B$4,D168,IF($B244&lt;=$B$7,D171,IF($B244&lt;=$B$10,D174,IF($B244&lt;=$B$13,D177,D180))))</f>
        <v>2.59</v>
      </c>
    </row>
    <row r="247" spans="1:4" ht="12.75">
      <c r="A247" s="89" t="s">
        <v>468</v>
      </c>
      <c r="C247" s="142" t="str">
        <f>+IF(B247&lt;=$B$4,$C$4,IF(B247&lt;=$B$7,$C$7,IF(B247&lt;=$B$10,$C$10,IF(B247&lt;=$B$13,$C$13,$C$16))))</f>
        <v>3/8 CY tractor loader/backhoe</v>
      </c>
      <c r="D247" s="147">
        <f>+IF($B247&lt;=$B$4,D169,IF($B247&lt;=$B$7,D172,IF($B247&lt;=$B$10,D175,IF($B247&lt;=$B$13,D178,D181))))</f>
        <v>6.4</v>
      </c>
    </row>
    <row r="248" spans="1:4" ht="12.75">
      <c r="A248" s="89"/>
      <c r="C248" s="142" t="str">
        <f>+IF(B247&lt;=$B$4,$C$5,IF(B247&lt;=$B$7,$C$8,IF(B247&lt;=$B$10,$C$11,IF(B250&lt;=$B$13,$C$14,$C$17))))</f>
        <v>1/2 CY tractor loader/backhoe</v>
      </c>
      <c r="D248" s="147">
        <f>+IF($B247&lt;=$B$4,D170,IF($B247&lt;=$B$7,D173,IF($B247&lt;=$B$10,D176,IF($B247&lt;=$B$13,D179,D182))))</f>
        <v>3.69</v>
      </c>
    </row>
    <row r="249" spans="1:4" ht="12.75">
      <c r="A249" s="89"/>
      <c r="C249" s="142" t="str">
        <f>+IF(B247&lt;=$B$4,$C$6,IF(B247&lt;=$B$7,$C$9,IF(B247&lt;=$B$10,$C$12,IF(B247&lt;=$B$13,$C$15,$C$18))))</f>
        <v>-NA-</v>
      </c>
      <c r="D249" s="147">
        <f>+IF($B247&lt;=$B$4,D171,IF($B247&lt;=$B$7,D174,IF($B247&lt;=$B$10,D177,IF($B247&lt;=$B$13,D180,D183))))</f>
        <v>2.87</v>
      </c>
    </row>
    <row r="250" spans="1:4" ht="12.75">
      <c r="A250" s="89" t="s">
        <v>469</v>
      </c>
      <c r="C250" s="142" t="str">
        <f>+IF(B250&lt;=$B$4,$C$4,IF(B250&lt;=$B$7,$C$7,IF(B250&lt;=$B$10,$C$10,IF(B250&lt;=$B$13,$C$13,$C$16))))</f>
        <v>3/8 CY tractor loader/backhoe</v>
      </c>
      <c r="D250" s="147">
        <f>+IF($B250&lt;=$B$4,D172,IF($B250&lt;=$B$7,D175,IF($B250&lt;=$B$10,D178,IF($B250&lt;=$B$13,D181,D184))))</f>
        <v>4.15</v>
      </c>
    </row>
    <row r="251" spans="1:4" ht="12.75">
      <c r="A251" s="89"/>
      <c r="C251" s="142" t="str">
        <f>+IF(B250&lt;=$B$4,$C$5,IF(B250&lt;=$B$7,$C$8,IF(B250&lt;=$B$10,$C$11,IF(B253&lt;=$B$13,$C$14,$C$17))))</f>
        <v>1/2 CY tractor loader/backhoe</v>
      </c>
      <c r="D251" s="147">
        <f>+IF($B250&lt;=$B$4,D173,IF($B250&lt;=$B$7,D176,IF($B250&lt;=$B$10,D179,IF($B250&lt;=$B$13,D182,D185))))</f>
        <v>3.23</v>
      </c>
    </row>
    <row r="252" spans="1:4" ht="12.75">
      <c r="A252" s="89"/>
      <c r="C252" s="142" t="str">
        <f>+IF(B250&lt;=$B$4,$C$6,IF(B250&lt;=$B$7,$C$9,IF(B250&lt;=$B$10,$C$12,IF(B250&lt;=$B$13,$C$15,$C$18))))</f>
        <v>-NA-</v>
      </c>
      <c r="D252" s="147">
        <f>+IF($B250&lt;=$B$4,D174,IF($B250&lt;=$B$7,D177,IF($B250&lt;=$B$10,D180,IF($B250&lt;=$B$13,D183,D186))))</f>
        <v>2.67</v>
      </c>
    </row>
    <row r="253" spans="1:4" ht="12.75">
      <c r="A253" s="89" t="s">
        <v>470</v>
      </c>
      <c r="C253" s="142" t="str">
        <f>+IF(B253&lt;=$B$4,$C$4,IF(B253&lt;=$B$7,$C$7,IF(B253&lt;=$B$10,$C$10,IF(B253&lt;=$B$13,$C$13,$C$16))))</f>
        <v>3/8 CY tractor loader/backhoe</v>
      </c>
      <c r="D253" s="147">
        <f>+IF($B253&lt;=$B$4,D175,IF($B253&lt;=$B$7,D178,IF($B253&lt;=$B$10,D181,IF($B253&lt;=$B$13,D184,D187))))</f>
        <v>0</v>
      </c>
    </row>
    <row r="254" spans="1:4" ht="12.75">
      <c r="A254" s="89"/>
      <c r="C254" s="142" t="str">
        <f>+IF(B253&lt;=$B$4,$C$5,IF(B253&lt;=$B$7,$C$8,IF(B253&lt;=$B$10,$C$11,IF(B256&lt;=$B$13,$C$14,$C$17))))</f>
        <v>1/2 CY tractor loader/backhoe</v>
      </c>
      <c r="D254" s="147">
        <f>+IF($B253&lt;=$B$4,D176,IF($B253&lt;=$B$7,D179,IF($B253&lt;=$B$10,D182,IF($B253&lt;=$B$13,D185,D188))))</f>
        <v>0</v>
      </c>
    </row>
    <row r="255" spans="1:4" ht="12.75">
      <c r="A255" s="89"/>
      <c r="C255" s="142" t="str">
        <f>+IF(B253&lt;=$B$4,$C$6,IF(B253&lt;=$B$7,$C$9,IF(B253&lt;=$B$10,$C$12,IF(B253&lt;=$B$13,$C$15,$C$18))))</f>
        <v>-NA-</v>
      </c>
      <c r="D255" s="147">
        <f>+IF($B253&lt;=$B$4,D177,IF($B253&lt;=$B$7,D180,IF($B253&lt;=$B$10,D183,IF($B253&lt;=$B$13,D186,D189))))</f>
        <v>0</v>
      </c>
    </row>
    <row r="256" spans="1:4" ht="12.75">
      <c r="A256" s="89" t="s">
        <v>471</v>
      </c>
      <c r="C256" s="142" t="str">
        <f>+IF(B256&lt;=$B$4,$C$4,IF(B256&lt;=$B$7,$C$7,IF(B256&lt;=$B$10,$C$10,IF(B256&lt;=$B$13,$C$13,$C$16))))</f>
        <v>3/8 CY tractor loader/backhoe</v>
      </c>
      <c r="D256" s="147">
        <f>+IF($B256&lt;=$B$4,D178,IF($B256&lt;=$B$7,D181,IF($B256&lt;=$B$10,D184,IF($B256&lt;=$B$13,D187,D190))))</f>
        <v>0</v>
      </c>
    </row>
    <row r="257" spans="1:4" ht="12.75">
      <c r="A257" s="89"/>
      <c r="C257" s="142" t="str">
        <f>+IF(B256&lt;=$B$4,$C$5,IF(B256&lt;=$B$7,$C$8,IF(B256&lt;=$B$10,$C$11,IF(B259&lt;=$B$13,$C$14,$C$17))))</f>
        <v>1/2 CY tractor loader/backhoe</v>
      </c>
      <c r="D257" s="147">
        <f>+IF($B256&lt;=$B$4,D179,IF($B256&lt;=$B$7,D182,IF($B256&lt;=$B$10,D185,IF($B256&lt;=$B$13,D188,D191))))</f>
        <v>0</v>
      </c>
    </row>
    <row r="258" spans="1:4" ht="12.75">
      <c r="A258" s="89"/>
      <c r="C258" s="142" t="str">
        <f>+IF(B256&lt;=$B$4,$C$6,IF(B256&lt;=$B$7,$C$9,IF(B256&lt;=$B$10,$C$12,IF(B256&lt;=$B$13,$C$15,$C$18))))</f>
        <v>-NA-</v>
      </c>
      <c r="D258" s="147">
        <f>+IF($B256&lt;=$B$4,D180,IF($B256&lt;=$B$7,D183,IF($B256&lt;=$B$10,D186,IF($B256&lt;=$B$13,D189,D192))))</f>
        <v>0</v>
      </c>
    </row>
    <row r="259" spans="1:4" ht="12.75">
      <c r="A259" s="89" t="s">
        <v>472</v>
      </c>
      <c r="C259" s="142" t="str">
        <f>+IF(B259&lt;=$B$4,$C$4,IF(B259&lt;=$B$7,$C$7,IF(B259&lt;=$B$10,$C$10,IF(B259&lt;=$B$13,$C$13,$C$16))))</f>
        <v>3/8 CY tractor loader/backhoe</v>
      </c>
      <c r="D259" s="147">
        <f>+IF($B259&lt;=$B$4,D181,IF($B259&lt;=$B$7,D184,IF($B259&lt;=$B$10,D187,IF($B259&lt;=$B$13,D190,D193))))</f>
        <v>6.3</v>
      </c>
    </row>
    <row r="260" spans="1:4" ht="12.75">
      <c r="A260" s="89"/>
      <c r="C260" s="142" t="str">
        <f>+IF(B259&lt;=$B$4,$C$5,IF(B259&lt;=$B$7,$C$8,IF(B259&lt;=$B$10,$C$11,IF(B262&lt;=$B$13,$C$14,$C$17))))</f>
        <v>1/2 CY tractor loader/backhoe</v>
      </c>
      <c r="D260" s="147">
        <f>+IF($B259&lt;=$B$4,D182,IF($B259&lt;=$B$7,D185,IF($B259&lt;=$B$10,D188,IF($B259&lt;=$B$13,D191,D194))))</f>
        <v>4.85</v>
      </c>
    </row>
    <row r="261" spans="1:4" ht="12.75">
      <c r="A261" s="89"/>
      <c r="C261" s="142" t="str">
        <f>+IF(B259&lt;=$B$4,$C$6,IF(B259&lt;=$B$7,$C$9,IF(B259&lt;=$B$10,$C$12,IF(B259&lt;=$B$13,$C$15,$C$18))))</f>
        <v>-NA-</v>
      </c>
      <c r="D261" s="147">
        <f>+IF($B259&lt;=$B$4,D183,IF($B259&lt;=$B$7,D186,IF($B259&lt;=$B$10,D189,IF($B259&lt;=$B$13,D192,D195))))</f>
        <v>0</v>
      </c>
    </row>
    <row r="262" spans="1:4" ht="12.75">
      <c r="A262" s="89" t="s">
        <v>473</v>
      </c>
      <c r="C262" s="142" t="str">
        <f>+IF(B262&lt;=$B$4,$C$4,IF(B262&lt;=$B$7,$C$7,IF(B262&lt;=$B$10,$C$10,IF(B262&lt;=$B$13,$C$13,$C$16))))</f>
        <v>3/8 CY tractor loader/backhoe</v>
      </c>
      <c r="D262" s="147">
        <f>+IF($B262&lt;=$B$4,D184,IF($B262&lt;=$B$7,D187,IF($B262&lt;=$B$10,D190,IF($B262&lt;=$B$13,D193,D196))))</f>
        <v>6.3</v>
      </c>
    </row>
    <row r="263" spans="1:4" ht="12.75">
      <c r="A263" s="89"/>
      <c r="C263" s="142" t="str">
        <f>+IF(B262&lt;=$B$4,$C$5,IF(B262&lt;=$B$7,$C$8,IF(B262&lt;=$B$10,$C$11,IF(B265&lt;=$B$13,$C$14,$C$17))))</f>
        <v>1/2 CY tractor loader/backhoe</v>
      </c>
      <c r="D263" s="147">
        <f>+IF($B262&lt;=$B$4,D185,IF($B262&lt;=$B$7,D188,IF($B262&lt;=$B$10,D191,IF($B262&lt;=$B$13,D194,D197))))</f>
        <v>4.85</v>
      </c>
    </row>
    <row r="264" spans="1:4" ht="12.75">
      <c r="A264" s="89"/>
      <c r="C264" s="142" t="str">
        <f>+IF(B262&lt;=$B$4,$C$6,IF(B262&lt;=$B$7,$C$9,IF(B262&lt;=$B$10,$C$12,IF(B262&lt;=$B$13,$C$15,$C$18))))</f>
        <v>-NA-</v>
      </c>
      <c r="D264" s="147">
        <f>+IF($B262&lt;=$B$4,D186,IF($B262&lt;=$B$7,D189,IF($B262&lt;=$B$10,D192,IF($B262&lt;=$B$13,D195,D198))))</f>
        <v>0</v>
      </c>
    </row>
    <row r="265" spans="1:4" ht="12.75">
      <c r="A265" s="64" t="s">
        <v>474</v>
      </c>
      <c r="C265" s="142" t="str">
        <f>+IF(B265&lt;=$B$4,$C$4,IF(B265&lt;=$B$7,$C$7,IF(B265&lt;=$B$10,$C$10,IF(B265&lt;=$B$13,$C$13,$C$16))))</f>
        <v>3/8 CY tractor loader/backhoe</v>
      </c>
      <c r="D265" s="147">
        <f>+IF($B265&lt;=$B$4,D187,IF($B265&lt;=$B$7,D190,IF($B265&lt;=$B$10,D193,IF($B265&lt;=$B$13,D196,D199))))</f>
        <v>6.3</v>
      </c>
    </row>
    <row r="266" spans="1:4" ht="12.75">
      <c r="A266" s="64"/>
      <c r="C266" s="142" t="str">
        <f>+IF(B265&lt;=$B$4,$C$5,IF(B265&lt;=$B$7,$C$8,IF(B265&lt;=$B$10,$C$11,IF(B268&lt;=$B$13,$C$14,$C$17))))</f>
        <v>1/2 CY tractor loader/backhoe</v>
      </c>
      <c r="D266" s="147">
        <f>+IF($B265&lt;=$B$4,D188,IF($B265&lt;=$B$7,D191,IF($B265&lt;=$B$10,D194,IF($B265&lt;=$B$13,D197,D200))))</f>
        <v>4.85</v>
      </c>
    </row>
    <row r="267" spans="1:4" ht="12.75">
      <c r="A267" s="64"/>
      <c r="C267" s="142" t="str">
        <f>+IF(B265&lt;=$B$4,$C$6,IF(B265&lt;=$B$7,$C$9,IF(B265&lt;=$B$10,$C$12,IF(B265&lt;=$B$13,$C$15,$C$18))))</f>
        <v>-NA-</v>
      </c>
      <c r="D267" s="147">
        <f>+IF($B265&lt;=$B$4,D189,IF($B265&lt;=$B$7,D192,IF($B265&lt;=$B$10,D195,IF($B265&lt;=$B$13,D198,D201))))</f>
        <v>0</v>
      </c>
    </row>
    <row r="268" spans="1:4" ht="12.75">
      <c r="A268" s="89" t="s">
        <v>475</v>
      </c>
      <c r="C268" s="142" t="str">
        <f>+IF(B268&lt;=$B$4,$C$4,IF(B268&lt;=$B$7,$C$7,IF(B268&lt;=$B$10,$C$10,IF(B268&lt;=$B$13,$C$13,$C$16))))</f>
        <v>3/8 CY tractor loader/backhoe</v>
      </c>
      <c r="D268" s="147">
        <f>+IF($B268&lt;=$B$4,D190,IF($B268&lt;=$B$7,D193,IF($B268&lt;=$B$10,D196,IF($B268&lt;=$B$13,D199,D202))))</f>
        <v>6.3</v>
      </c>
    </row>
    <row r="269" spans="1:4" ht="12.75">
      <c r="A269" s="89"/>
      <c r="C269" s="142" t="str">
        <f>+IF(B268&lt;=$B$4,$C$5,IF(B268&lt;=$B$7,$C$8,IF(B268&lt;=$B$10,$C$11,IF(B271&lt;=$B$13,$C$14,$C$17))))</f>
        <v>1/2 CY tractor loader/backhoe</v>
      </c>
      <c r="D269" s="147">
        <f>+IF($B268&lt;=$B$4,D191,IF($B268&lt;=$B$7,D194,IF($B268&lt;=$B$10,D197,IF($B268&lt;=$B$13,D200,D203))))</f>
        <v>4.85</v>
      </c>
    </row>
    <row r="270" spans="1:4" ht="12.75">
      <c r="A270" s="89"/>
      <c r="C270" s="142" t="str">
        <f>+IF(B268&lt;=$B$4,$C$6,IF(B268&lt;=$B$7,$C$9,IF(B268&lt;=$B$10,$C$12,IF(B268&lt;=$B$13,$C$15,$C$18))))</f>
        <v>-NA-</v>
      </c>
      <c r="D270" s="147">
        <f>+IF($B268&lt;=$B$4,D192,IF($B268&lt;=$B$7,D195,IF($B268&lt;=$B$10,D198,IF($B268&lt;=$B$13,D201,D204))))</f>
        <v>0</v>
      </c>
    </row>
    <row r="271" spans="1:4" ht="12.75">
      <c r="A271" s="89" t="s">
        <v>476</v>
      </c>
      <c r="C271" s="142" t="str">
        <f>+IF(B271&lt;=$B$4,$C$4,IF(B271&lt;=$B$7,$C$7,IF(B271&lt;=$B$10,$C$10,IF(B271&lt;=$B$13,$C$13,$C$16))))</f>
        <v>3/8 CY tractor loader/backhoe</v>
      </c>
      <c r="D271" s="147">
        <f>+IF($B271&lt;=$B$4,D193,IF($B271&lt;=$B$7,D196,IF($B271&lt;=$B$10,D199,IF($B271&lt;=$B$13,D202,D205))))</f>
        <v>6.3</v>
      </c>
    </row>
    <row r="272" spans="1:4" ht="12.75">
      <c r="A272" s="89"/>
      <c r="C272" s="142" t="str">
        <f>+IF(B271&lt;=$B$4,$C$5,IF(B271&lt;=$B$7,$C$8,IF(B271&lt;=$B$10,$C$11,IF(B274&lt;=$B$13,$C$14,$C$17))))</f>
        <v>1/2 CY tractor loader/backhoe</v>
      </c>
      <c r="D272" s="147">
        <f>+IF($B271&lt;=$B$4,D194,IF($B271&lt;=$B$7,D197,IF($B271&lt;=$B$10,D200,IF($B271&lt;=$B$13,D203,D206))))</f>
        <v>4.85</v>
      </c>
    </row>
    <row r="273" spans="1:4" ht="12.75">
      <c r="A273" s="89"/>
      <c r="C273" s="142" t="str">
        <f>+IF(B271&lt;=$B$4,$C$6,IF(B271&lt;=$B$7,$C$9,IF(B271&lt;=$B$10,$C$12,IF(B271&lt;=$B$13,$C$15,$C$18))))</f>
        <v>-NA-</v>
      </c>
      <c r="D273" s="147">
        <f>+IF($B271&lt;=$B$4,D195,IF($B271&lt;=$B$7,D198,IF($B271&lt;=$B$10,D201,IF($B271&lt;=$B$13,D204,D207))))</f>
        <v>0</v>
      </c>
    </row>
    <row r="274" spans="1:4" ht="12.75">
      <c r="A274" s="89" t="s">
        <v>477</v>
      </c>
      <c r="C274" s="142" t="str">
        <f>+IF(B274&lt;=$B$4,$C$4,IF(B274&lt;=$B$7,$C$7,IF(B274&lt;=$B$10,$C$10,IF(B274&lt;=$B$13,$C$13,$C$16))))</f>
        <v>3/8 CY tractor loader/backhoe</v>
      </c>
      <c r="D274" s="147">
        <f>+IF($B274&lt;=$B$4,D196,IF($B274&lt;=$B$7,D199,IF($B274&lt;=$B$10,D202,IF($B274&lt;=$B$13,D205,D208))))</f>
        <v>6.3</v>
      </c>
    </row>
    <row r="275" spans="1:4" ht="12.75">
      <c r="A275" s="89"/>
      <c r="C275" s="142" t="str">
        <f>+IF(B274&lt;=$B$4,$C$5,IF(B274&lt;=$B$7,$C$8,IF(B274&lt;=$B$10,$C$11,IF(B277&lt;=$B$13,$C$14,$C$17))))</f>
        <v>1/2 CY tractor loader/backhoe</v>
      </c>
      <c r="D275" s="147">
        <f>+IF($B274&lt;=$B$4,D197,IF($B274&lt;=$B$7,D200,IF($B274&lt;=$B$10,D203,IF($B274&lt;=$B$13,D206,D209))))</f>
        <v>4.85</v>
      </c>
    </row>
    <row r="276" spans="1:4" ht="12.75">
      <c r="A276" s="89"/>
      <c r="C276" s="142" t="str">
        <f>+IF(B274&lt;=$B$4,$C$6,IF(B274&lt;=$B$7,$C$9,IF(B274&lt;=$B$10,$C$12,IF(B274&lt;=$B$13,$C$15,$C$18))))</f>
        <v>-NA-</v>
      </c>
      <c r="D276" s="147">
        <f>+IF($B274&lt;=$B$4,D198,IF($B274&lt;=$B$7,D201,IF($B274&lt;=$B$10,D204,IF($B274&lt;=$B$13,D207,D210))))</f>
        <v>0</v>
      </c>
    </row>
    <row r="277" spans="1:4" ht="12.75">
      <c r="A277" s="89" t="s">
        <v>478</v>
      </c>
      <c r="C277" s="142" t="str">
        <f>+IF(B277&lt;=$B$4,$C$4,IF(B277&lt;=$B$7,$C$7,IF(B277&lt;=$B$10,$C$10,IF(B277&lt;=$B$13,$C$13,$C$16))))</f>
        <v>3/8 CY tractor loader/backhoe</v>
      </c>
      <c r="D277" s="147">
        <f>+IF($B277&lt;=$B$4,D199,IF($B277&lt;=$B$7,D202,IF($B277&lt;=$B$10,D205,IF($B277&lt;=$B$13,D208,D211))))</f>
        <v>6.3</v>
      </c>
    </row>
    <row r="278" spans="1:4" ht="12.75">
      <c r="A278" s="89"/>
      <c r="C278" s="142" t="str">
        <f>+IF(B277&lt;=$B$4,$C$5,IF(B277&lt;=$B$7,$C$8,IF(B277&lt;=$B$10,$C$11,IF(B280&lt;=$B$13,$C$14,$C$17))))</f>
        <v>1/2 CY tractor loader/backhoe</v>
      </c>
      <c r="D278" s="147">
        <f>+IF($B277&lt;=$B$4,D200,IF($B277&lt;=$B$7,D203,IF($B277&lt;=$B$10,D206,IF($B277&lt;=$B$13,D209,D212))))</f>
        <v>4.85</v>
      </c>
    </row>
    <row r="279" spans="1:4" ht="12.75">
      <c r="A279" s="89"/>
      <c r="C279" s="142" t="str">
        <f>+IF(B277&lt;=$B$4,$C$6,IF(B277&lt;=$B$7,$C$9,IF(B277&lt;=$B$10,$C$12,IF(B277&lt;=$B$13,$C$15,$C$18))))</f>
        <v>-NA-</v>
      </c>
      <c r="D279" s="147">
        <f>+IF($B277&lt;=$B$4,D201,IF($B277&lt;=$B$7,D204,IF($B277&lt;=$B$10,D207,IF($B277&lt;=$B$13,D210,D213))))</f>
        <v>0</v>
      </c>
    </row>
    <row r="280" spans="1:4" ht="12.75">
      <c r="A280" s="89" t="s">
        <v>479</v>
      </c>
      <c r="C280" s="142" t="str">
        <f>+IF(B280&lt;=$B$4,$C$4,IF(B280&lt;=$B$7,$C$7,IF(B280&lt;=$B$10,$C$10,IF(B280&lt;=$B$13,$C$13,$C$16))))</f>
        <v>3/8 CY tractor loader/backhoe</v>
      </c>
      <c r="D280" s="147">
        <f>+IF($B280&lt;=$B$4,D202,IF($B280&lt;=$B$7,D205,IF($B280&lt;=$B$10,D208,IF($B280&lt;=$B$13,D211,D214))))</f>
        <v>6.3</v>
      </c>
    </row>
    <row r="281" spans="1:4" ht="12.75">
      <c r="A281" s="89"/>
      <c r="C281" s="142" t="str">
        <f>+IF(B280&lt;=$B$4,$C$5,IF(B280&lt;=$B$7,$C$8,IF(B280&lt;=$B$10,$C$11,IF(B283&lt;=$B$13,$C$14,$C$17))))</f>
        <v>1/2 CY tractor loader/backhoe</v>
      </c>
      <c r="D281" s="147">
        <f>+IF($B280&lt;=$B$4,D203,IF($B280&lt;=$B$7,D206,IF($B280&lt;=$B$10,D209,IF($B280&lt;=$B$13,D212,D215))))</f>
        <v>4.85</v>
      </c>
    </row>
    <row r="282" spans="1:4" ht="12.75">
      <c r="A282" s="89"/>
      <c r="C282" s="142" t="str">
        <f>+IF(B280&lt;=$B$4,$C$6,IF(B280&lt;=$B$7,$C$9,IF(B280&lt;=$B$10,$C$12,IF(B280&lt;=$B$13,$C$15,$C$18))))</f>
        <v>-NA-</v>
      </c>
      <c r="D282" s="147">
        <f>+IF($B280&lt;=$B$4,D204,IF($B280&lt;=$B$7,D207,IF($B280&lt;=$B$10,D210,IF($B280&lt;=$B$13,D213,D216))))</f>
        <v>0</v>
      </c>
    </row>
    <row r="283" spans="1:4" ht="12.75">
      <c r="A283" s="89" t="s">
        <v>480</v>
      </c>
      <c r="C283" s="142" t="str">
        <f>+IF(B283&lt;=$B$4,$C$4,IF(B283&lt;=$B$7,$C$7,IF(B283&lt;=$B$10,$C$10,IF(B283&lt;=$B$13,$C$13,$C$16))))</f>
        <v>3/8 CY tractor loader/backhoe</v>
      </c>
      <c r="D283" s="147">
        <f>+IF($B283&lt;=$B$4,D205,IF($B283&lt;=$B$7,D208,IF($B283&lt;=$B$10,D211,IF($B283&lt;=$B$13,D214,D217))))</f>
        <v>6.3</v>
      </c>
    </row>
    <row r="284" spans="1:4" ht="12.75">
      <c r="A284" s="89"/>
      <c r="C284" s="142" t="str">
        <f>+IF(B283&lt;=$B$4,$C$5,IF(B283&lt;=$B$7,$C$8,IF(B283&lt;=$B$10,$C$11,IF(B286&lt;=$B$13,$C$14,$C$17))))</f>
        <v>1/2 CY tractor loader/backhoe</v>
      </c>
      <c r="D284" s="147">
        <f>+IF($B283&lt;=$B$4,D206,IF($B283&lt;=$B$7,D209,IF($B283&lt;=$B$10,D212,IF($B283&lt;=$B$13,D215,D218))))</f>
        <v>4.85</v>
      </c>
    </row>
    <row r="285" spans="1:4" ht="12.75">
      <c r="A285" s="89"/>
      <c r="C285" s="142" t="str">
        <f>+IF(B283&lt;=$B$4,$C$6,IF(B283&lt;=$B$7,$C$9,IF(B283&lt;=$B$10,$C$12,IF(B283&lt;=$B$13,$C$15,$C$18))))</f>
        <v>-NA-</v>
      </c>
      <c r="D285" s="147">
        <f>+IF($B283&lt;=$B$4,D207,IF($B283&lt;=$B$7,D210,IF($B283&lt;=$B$10,D213,IF($B283&lt;=$B$13,D216,D219))))</f>
        <v>0</v>
      </c>
    </row>
    <row r="286" spans="1:4" ht="12.75">
      <c r="A286" s="89" t="s">
        <v>481</v>
      </c>
      <c r="C286" s="142" t="str">
        <f>+IF(B286&lt;=$B$4,$C$4,IF(B286&lt;=$B$7,$C$7,IF(B286&lt;=$B$10,$C$10,IF(B286&lt;=$B$13,$C$13,$C$16))))</f>
        <v>3/8 CY tractor loader/backhoe</v>
      </c>
      <c r="D286" s="147">
        <f>+IF($B286&lt;=$B$4,D208,IF($B286&lt;=$B$7,D211,IF($B286&lt;=$B$10,D214,IF($B286&lt;=$B$13,D217,D220))))</f>
        <v>6.3</v>
      </c>
    </row>
    <row r="287" spans="1:4" ht="12.75">
      <c r="A287" s="89"/>
      <c r="C287" s="142" t="str">
        <f>+IF(B286&lt;=$B$4,$C$5,IF(B286&lt;=$B$7,$C$8,IF(B286&lt;=$B$10,$C$11,IF(B289&lt;=$B$13,$C$14,$C$17))))</f>
        <v>1/2 CY tractor loader/backhoe</v>
      </c>
      <c r="D287" s="147">
        <f>+IF($B286&lt;=$B$4,D209,IF($B286&lt;=$B$7,D212,IF($B286&lt;=$B$10,D215,IF($B286&lt;=$B$13,D218,D221))))</f>
        <v>4.85</v>
      </c>
    </row>
    <row r="288" spans="1:4" ht="12.75">
      <c r="A288" s="89"/>
      <c r="C288" s="142" t="str">
        <f>+IF(B286&lt;=$B$4,$C$6,IF(B286&lt;=$B$7,$C$9,IF(B286&lt;=$B$10,$C$12,IF(B286&lt;=$B$13,$C$15,$C$18))))</f>
        <v>-NA-</v>
      </c>
      <c r="D288" s="147">
        <f>+IF($B286&lt;=$B$4,D210,IF($B286&lt;=$B$7,D213,IF($B286&lt;=$B$10,D216,IF($B286&lt;=$B$13,D219,D222))))</f>
        <v>0</v>
      </c>
    </row>
    <row r="289" spans="1:4" ht="12.75">
      <c r="A289" s="89" t="s">
        <v>482</v>
      </c>
      <c r="C289" s="142" t="str">
        <f>+IF(B289&lt;=$B$4,$C$4,IF(B289&lt;=$B$7,$C$7,IF(B289&lt;=$B$10,$C$10,IF(B289&lt;=$B$13,$C$13,$C$16))))</f>
        <v>3/8 CY tractor loader/backhoe</v>
      </c>
      <c r="D289" s="147">
        <f>+IF($B289&lt;=$B$4,D211,IF($B289&lt;=$B$7,D214,IF($B289&lt;=$B$10,D217,IF($B289&lt;=$B$13,D220,D223))))</f>
        <v>6.3</v>
      </c>
    </row>
    <row r="290" spans="1:4" ht="12.75">
      <c r="A290" s="89"/>
      <c r="C290" s="142" t="str">
        <f>+IF(B289&lt;=$B$4,$C$5,IF(B289&lt;=$B$7,$C$8,IF(B289&lt;=$B$10,$C$11,IF(B292&lt;=$B$13,$C$14,$C$17))))</f>
        <v>1/2 CY tractor loader/backhoe</v>
      </c>
      <c r="D290" s="147">
        <f>+IF($B289&lt;=$B$4,D212,IF($B289&lt;=$B$7,D215,IF($B289&lt;=$B$10,D218,IF($B289&lt;=$B$13,D221,D224))))</f>
        <v>4.85</v>
      </c>
    </row>
    <row r="291" spans="1:4" ht="12.75">
      <c r="A291" s="89"/>
      <c r="C291" s="142" t="str">
        <f>+IF(B289&lt;=$B$4,$C$6,IF(B289&lt;=$B$7,$C$9,IF(B289&lt;=$B$10,$C$12,IF(B289&lt;=$B$13,$C$15,$C$18))))</f>
        <v>-NA-</v>
      </c>
      <c r="D291" s="147">
        <f>+IF($B289&lt;=$B$4,D213,IF($B289&lt;=$B$7,D216,IF($B289&lt;=$B$10,D219,IF($B289&lt;=$B$13,D222,D225))))</f>
        <v>0</v>
      </c>
    </row>
    <row r="292" spans="1:4" ht="12.75">
      <c r="A292" s="89" t="s">
        <v>483</v>
      </c>
      <c r="C292" s="142" t="str">
        <f>+IF(B292&lt;=$B$4,$C$4,IF(B292&lt;=$B$7,$C$7,IF(B292&lt;=$B$10,$C$10,IF(B292&lt;=$B$13,$C$13,$C$16))))</f>
        <v>3/8 CY tractor loader/backhoe</v>
      </c>
      <c r="D292" s="147">
        <f>+IF($B292&lt;=$B$4,D214,IF($B292&lt;=$B$7,D217,IF($B292&lt;=$B$10,D220,IF($B292&lt;=$B$13,D223,D226))))</f>
        <v>6.3</v>
      </c>
    </row>
    <row r="293" spans="1:4" ht="12.75">
      <c r="A293" s="89"/>
      <c r="C293" s="142" t="str">
        <f>+IF(B292&lt;=$B$4,$C$5,IF(B292&lt;=$B$7,$C$8,IF(B292&lt;=$B$10,$C$11,IF(B295&lt;=$B$13,$C$14,$C$17))))</f>
        <v>1/2 CY tractor loader/backhoe</v>
      </c>
      <c r="D293" s="147">
        <f>+IF($B292&lt;=$B$4,D215,IF($B292&lt;=$B$7,D218,IF($B292&lt;=$B$10,D221,IF($B292&lt;=$B$13,D224,D227))))</f>
        <v>4.85</v>
      </c>
    </row>
    <row r="294" spans="1:4" ht="12.75">
      <c r="A294" s="89"/>
      <c r="C294" s="142" t="str">
        <f>+IF(B292&lt;=$B$4,$C$6,IF(B292&lt;=$B$7,$C$9,IF(B292&lt;=$B$10,$C$12,IF(B292&lt;=$B$13,$C$15,$C$18))))</f>
        <v>-NA-</v>
      </c>
      <c r="D294" s="147">
        <f>+IF($B292&lt;=$B$4,D216,IF($B292&lt;=$B$7,D219,IF($B292&lt;=$B$10,D222,IF($B292&lt;=$B$13,D225,D228))))</f>
        <v>0</v>
      </c>
    </row>
    <row r="295" spans="1:4" ht="12.75">
      <c r="A295" s="64" t="s">
        <v>484</v>
      </c>
      <c r="C295" s="142" t="str">
        <f>+IF(B295&lt;=$B$4,$C$4,IF(B295&lt;=$B$7,$C$7,IF(B295&lt;=$B$10,$C$10,IF(B295&lt;=$B$13,$C$13,$C$16))))</f>
        <v>3/8 CY tractor loader/backhoe</v>
      </c>
      <c r="D295" s="147">
        <f>+IF($B295&lt;=$B$4,D217,IF($B295&lt;=$B$7,D220,IF($B295&lt;=$B$10,D223,IF($B295&lt;=$B$13,D226,D229))))</f>
        <v>6.3</v>
      </c>
    </row>
    <row r="296" spans="1:4" ht="12.75">
      <c r="A296" s="64"/>
      <c r="C296" s="142" t="str">
        <f>+IF(B295&lt;=$B$4,$C$5,IF(B295&lt;=$B$7,$C$8,IF(B295&lt;=$B$10,$C$11,IF(B298&lt;=$B$13,$C$14,$C$17))))</f>
        <v>1/2 CY tractor loader/backhoe</v>
      </c>
      <c r="D296" s="147">
        <f>+IF($B295&lt;=$B$4,D218,IF($B295&lt;=$B$7,D221,IF($B295&lt;=$B$10,D224,IF($B295&lt;=$B$13,D227,D230))))</f>
        <v>4.85</v>
      </c>
    </row>
    <row r="297" spans="1:4" ht="12.75">
      <c r="A297" s="64"/>
      <c r="C297" s="142" t="str">
        <f>+IF(B295&lt;=$B$4,$C$6,IF(B295&lt;=$B$7,$C$9,IF(B295&lt;=$B$10,$C$12,IF(B295&lt;=$B$13,$C$15,$C$18))))</f>
        <v>-NA-</v>
      </c>
      <c r="D297" s="147">
        <f>+IF($B295&lt;=$B$4,D219,IF($B295&lt;=$B$7,D222,IF($B295&lt;=$B$10,D225,IF($B295&lt;=$B$13,D228,D231))))</f>
        <v>0</v>
      </c>
    </row>
    <row r="298" spans="1:4" ht="12.75">
      <c r="A298" s="89" t="s">
        <v>485</v>
      </c>
      <c r="C298" s="142" t="str">
        <f>+IF(B298&lt;=$B$4,$C$4,IF(B298&lt;=$B$7,$C$7,IF(B298&lt;=$B$10,$C$10,IF(B298&lt;=$B$13,$C$13,$C$16))))</f>
        <v>3/8 CY tractor loader/backhoe</v>
      </c>
      <c r="D298" s="147">
        <f>+IF($B298&lt;=$B$4,D220,IF($B298&lt;=$B$7,D223,IF($B298&lt;=$B$10,D226,IF($B298&lt;=$B$13,D229,D232))))</f>
        <v>6.3</v>
      </c>
    </row>
    <row r="299" spans="1:4" ht="12.75">
      <c r="A299" s="89"/>
      <c r="C299" s="142" t="str">
        <f>+IF(B298&lt;=$B$4,$C$5,IF(B298&lt;=$B$7,$C$8,IF(B298&lt;=$B$10,$C$11,IF(B301&lt;=$B$13,$C$14,$C$17))))</f>
        <v>1/2 CY tractor loader/backhoe</v>
      </c>
      <c r="D299" s="147">
        <f>+IF($B298&lt;=$B$4,D221,IF($B298&lt;=$B$7,D224,IF($B298&lt;=$B$10,D227,IF($B298&lt;=$B$13,D230,D233))))</f>
        <v>4.85</v>
      </c>
    </row>
    <row r="300" spans="1:4" ht="12.75">
      <c r="A300" s="89"/>
      <c r="C300" s="142" t="str">
        <f>+IF(B298&lt;=$B$4,$C$6,IF(B298&lt;=$B$7,$C$9,IF(B298&lt;=$B$10,$C$12,IF(B298&lt;=$B$13,$C$15,$C$18))))</f>
        <v>-NA-</v>
      </c>
      <c r="D300" s="147">
        <f>+IF($B298&lt;=$B$4,D222,IF($B298&lt;=$B$7,D225,IF($B298&lt;=$B$10,D228,IF($B298&lt;=$B$13,D231,D234))))</f>
        <v>0</v>
      </c>
    </row>
    <row r="301" spans="1:4" ht="12.75">
      <c r="A301" s="89" t="s">
        <v>486</v>
      </c>
      <c r="C301" s="142" t="str">
        <f>+IF(B301&lt;=$B$4,$C$4,IF(B301&lt;=$B$7,$C$7,IF(B301&lt;=$B$10,$C$10,IF(B301&lt;=$B$13,$C$13,$C$16))))</f>
        <v>3/8 CY tractor loader/backhoe</v>
      </c>
      <c r="D301" s="147">
        <f>+IF($B301&lt;=$B$4,D223,IF($B301&lt;=$B$7,D226,IF($B301&lt;=$B$10,D229,IF($B301&lt;=$B$13,D232,D235))))</f>
        <v>6.3</v>
      </c>
    </row>
    <row r="302" spans="1:4" ht="12.75">
      <c r="A302" s="89"/>
      <c r="C302" s="142" t="str">
        <f>+IF(B301&lt;=$B$4,$C$5,IF(B301&lt;=$B$7,$C$8,IF(B301&lt;=$B$10,$C$11,IF(B304&lt;=$B$13,$C$14,$C$17))))</f>
        <v>1/2 CY tractor loader/backhoe</v>
      </c>
      <c r="D302" s="147">
        <f>+IF($B301&lt;=$B$4,D224,IF($B301&lt;=$B$7,D227,IF($B301&lt;=$B$10,D230,IF($B301&lt;=$B$13,D233,D236))))</f>
        <v>4.85</v>
      </c>
    </row>
    <row r="303" spans="1:4" ht="12.75">
      <c r="A303" s="89"/>
      <c r="C303" s="142" t="str">
        <f>+IF(B301&lt;=$B$4,$C$6,IF(B301&lt;=$B$7,$C$9,IF(B301&lt;=$B$10,$C$12,IF(B301&lt;=$B$13,$C$15,$C$18))))</f>
        <v>-NA-</v>
      </c>
      <c r="D303" s="147">
        <f>+IF($B301&lt;=$B$4,D225,IF($B301&lt;=$B$7,D228,IF($B301&lt;=$B$10,D231,IF($B301&lt;=$B$13,D234,D237))))</f>
        <v>0</v>
      </c>
    </row>
    <row r="304" spans="1:4" ht="12.75">
      <c r="A304" s="89" t="s">
        <v>487</v>
      </c>
      <c r="C304" s="142" t="str">
        <f>+IF(B304&lt;=$B$4,$C$4,IF(B304&lt;=$B$7,$C$7,IF(B304&lt;=$B$10,$C$10,IF(B304&lt;=$B$13,$C$13,$C$16))))</f>
        <v>3/8 CY tractor loader/backhoe</v>
      </c>
      <c r="D304" s="147">
        <f>+IF($B304&lt;=$B$4,D226,IF($B304&lt;=$B$7,D229,IF($B304&lt;=$B$10,D232,IF($B304&lt;=$B$13,D235,D238))))</f>
        <v>6.3</v>
      </c>
    </row>
    <row r="305" spans="1:4" ht="12.75">
      <c r="A305" s="89"/>
      <c r="C305" s="142" t="str">
        <f>+IF(B304&lt;=$B$4,$C$5,IF(B304&lt;=$B$7,$C$8,IF(B304&lt;=$B$10,$C$11,IF(B307&lt;=$B$13,$C$14,$C$17))))</f>
        <v>1/2 CY tractor loader/backhoe</v>
      </c>
      <c r="D305" s="147">
        <f>+IF($B304&lt;=$B$4,D227,IF($B304&lt;=$B$7,D230,IF($B304&lt;=$B$10,D233,IF($B304&lt;=$B$13,D236,D239))))</f>
        <v>4.85</v>
      </c>
    </row>
    <row r="306" spans="1:4" ht="12.75">
      <c r="A306" s="89"/>
      <c r="C306" s="142" t="str">
        <f>+IF(B304&lt;=$B$4,$C$6,IF(B304&lt;=$B$7,$C$9,IF(B304&lt;=$B$10,$C$12,IF(B304&lt;=$B$13,$C$15,$C$18))))</f>
        <v>-NA-</v>
      </c>
      <c r="D306" s="147">
        <f>+IF($B304&lt;=$B$4,D228,IF($B304&lt;=$B$7,D231,IF($B304&lt;=$B$10,D234,IF($B304&lt;=$B$13,D237,D240))))</f>
        <v>0</v>
      </c>
    </row>
    <row r="307" spans="1:4" ht="12.75">
      <c r="A307" s="89" t="s">
        <v>488</v>
      </c>
      <c r="C307" s="142" t="str">
        <f>+IF(B307&lt;=$B$4,$C$4,IF(B307&lt;=$B$7,$C$7,IF(B307&lt;=$B$10,$C$10,IF(B307&lt;=$B$13,$C$13,$C$16))))</f>
        <v>3/8 CY tractor loader/backhoe</v>
      </c>
      <c r="D307" s="147">
        <f>+IF($B307&lt;=$B$4,D229,IF($B307&lt;=$B$7,D232,IF($B307&lt;=$B$10,D235,IF($B307&lt;=$B$13,D238,D241))))</f>
        <v>6.3</v>
      </c>
    </row>
    <row r="308" spans="1:4" ht="12.75">
      <c r="A308" s="89"/>
      <c r="C308" s="142" t="str">
        <f>+IF(B307&lt;=$B$4,$C$5,IF(B307&lt;=$B$7,$C$8,IF(B307&lt;=$B$10,$C$11,IF(B310&lt;=$B$13,$C$14,$C$17))))</f>
        <v>1/2 CY tractor loader/backhoe</v>
      </c>
      <c r="D308" s="147">
        <f>+IF($B307&lt;=$B$4,D230,IF($B307&lt;=$B$7,D233,IF($B307&lt;=$B$10,D236,IF($B307&lt;=$B$13,D239,D242))))</f>
        <v>4.85</v>
      </c>
    </row>
    <row r="309" spans="1:4" ht="12.75">
      <c r="A309" s="89"/>
      <c r="C309" s="142" t="str">
        <f>+IF(B307&lt;=$B$4,$C$6,IF(B307&lt;=$B$7,$C$9,IF(B307&lt;=$B$10,$C$12,IF(B307&lt;=$B$13,$C$15,$C$18))))</f>
        <v>-NA-</v>
      </c>
      <c r="D309" s="147">
        <f>+IF($B307&lt;=$B$4,D231,IF($B307&lt;=$B$7,D234,IF($B307&lt;=$B$10,D237,IF($B307&lt;=$B$13,D240,D243))))</f>
        <v>0</v>
      </c>
    </row>
    <row r="310" spans="1:4" ht="12.75">
      <c r="A310" s="89" t="s">
        <v>489</v>
      </c>
      <c r="C310" s="142" t="str">
        <f>+IF(B310&lt;=$B$4,$C$4,IF(B310&lt;=$B$7,$C$7,IF(B310&lt;=$B$10,$C$10,IF(B310&lt;=$B$13,$C$13,$C$16))))</f>
        <v>3/8 CY tractor loader/backhoe</v>
      </c>
      <c r="D310" s="147">
        <f>+IF($B310&lt;=$B$4,D232,IF($B310&lt;=$B$7,D235,IF($B310&lt;=$B$10,D238,IF($B310&lt;=$B$13,D241,D244))))</f>
        <v>6.3</v>
      </c>
    </row>
    <row r="311" spans="1:4" ht="12.75">
      <c r="A311" s="89"/>
      <c r="C311" s="142" t="str">
        <f>+IF(B310&lt;=$B$4,$C$5,IF(B310&lt;=$B$7,$C$8,IF(B310&lt;=$B$10,$C$11,IF(B313&lt;=$B$13,$C$14,$C$17))))</f>
        <v>1/2 CY tractor loader/backhoe</v>
      </c>
      <c r="D311" s="147">
        <f>+IF($B310&lt;=$B$4,D233,IF($B310&lt;=$B$7,D236,IF($B310&lt;=$B$10,D239,IF($B310&lt;=$B$13,D242,D245))))</f>
        <v>4.85</v>
      </c>
    </row>
    <row r="312" spans="1:4" ht="12.75">
      <c r="A312" s="89"/>
      <c r="C312" s="142" t="str">
        <f>+IF(B310&lt;=$B$4,$C$6,IF(B310&lt;=$B$7,$C$9,IF(B310&lt;=$B$10,$C$12,IF(B310&lt;=$B$13,$C$15,$C$18))))</f>
        <v>-NA-</v>
      </c>
      <c r="D312" s="147">
        <f>+IF($B310&lt;=$B$4,D234,IF($B310&lt;=$B$7,D237,IF($B310&lt;=$B$10,D240,IF($B310&lt;=$B$13,D243,D246))))</f>
        <v>0</v>
      </c>
    </row>
    <row r="313" spans="1:4" ht="12.75">
      <c r="A313" s="89" t="s">
        <v>490</v>
      </c>
      <c r="C313" s="142" t="str">
        <f>+IF(B313&lt;=$B$4,$C$4,IF(B313&lt;=$B$7,$C$7,IF(B313&lt;=$B$10,$C$10,IF(B313&lt;=$B$13,$C$13,$C$16))))</f>
        <v>3/8 CY tractor loader/backhoe</v>
      </c>
      <c r="D313" s="147">
        <f>+IF($B313&lt;=$B$4,D235,IF($B313&lt;=$B$7,D238,IF($B313&lt;=$B$10,D241,IF($B313&lt;=$B$13,D244,D247))))</f>
        <v>6.3</v>
      </c>
    </row>
    <row r="314" spans="1:4" ht="12.75">
      <c r="A314" s="89"/>
      <c r="C314" s="142" t="str">
        <f>+IF(B313&lt;=$B$4,$C$5,IF(B313&lt;=$B$7,$C$8,IF(B313&lt;=$B$10,$C$11,IF(B316&lt;=$B$13,$C$14,$C$17))))</f>
        <v>1/2 CY tractor loader/backhoe</v>
      </c>
      <c r="D314" s="147">
        <f>+IF($B313&lt;=$B$4,D236,IF($B313&lt;=$B$7,D239,IF($B313&lt;=$B$10,D242,IF($B313&lt;=$B$13,D245,D248))))</f>
        <v>4.85</v>
      </c>
    </row>
    <row r="315" spans="1:4" ht="12.75">
      <c r="A315" s="89"/>
      <c r="C315" s="142" t="str">
        <f>+IF(B313&lt;=$B$4,$C$6,IF(B313&lt;=$B$7,$C$9,IF(B313&lt;=$B$10,$C$12,IF(B313&lt;=$B$13,$C$15,$C$18))))</f>
        <v>-NA-</v>
      </c>
      <c r="D315" s="147">
        <f>+IF($B313&lt;=$B$4,D237,IF($B313&lt;=$B$7,D240,IF($B313&lt;=$B$10,D243,IF($B313&lt;=$B$13,D246,D249))))</f>
        <v>0</v>
      </c>
    </row>
    <row r="316" spans="1:4" ht="12.75">
      <c r="A316" s="89" t="s">
        <v>491</v>
      </c>
      <c r="C316" s="142" t="str">
        <f>+IF(B316&lt;=$B$4,$C$4,IF(B316&lt;=$B$7,$C$7,IF(B316&lt;=$B$10,$C$10,IF(B316&lt;=$B$13,$C$13,$C$16))))</f>
        <v>3/8 CY tractor loader/backhoe</v>
      </c>
      <c r="D316" s="147">
        <f>+IF($B316&lt;=$B$4,D238,IF($B316&lt;=$B$7,D241,IF($B316&lt;=$B$10,D244,IF($B316&lt;=$B$13,D247,D250))))</f>
        <v>6.3</v>
      </c>
    </row>
    <row r="317" spans="1:4" ht="12.75">
      <c r="A317" s="89"/>
      <c r="C317" s="142" t="str">
        <f>+IF(B316&lt;=$B$4,$C$5,IF(B316&lt;=$B$7,$C$8,IF(B316&lt;=$B$10,$C$11,IF(B319&lt;=$B$13,$C$14,$C$17))))</f>
        <v>1/2 CY tractor loader/backhoe</v>
      </c>
      <c r="D317" s="147">
        <f>+IF($B316&lt;=$B$4,D239,IF($B316&lt;=$B$7,D242,IF($B316&lt;=$B$10,D245,IF($B316&lt;=$B$13,D248,D251))))</f>
        <v>4.85</v>
      </c>
    </row>
    <row r="318" spans="1:4" ht="12.75">
      <c r="A318" s="89"/>
      <c r="C318" s="142" t="str">
        <f>+IF(B316&lt;=$B$4,$C$6,IF(B316&lt;=$B$7,$C$9,IF(B316&lt;=$B$10,$C$12,IF(B316&lt;=$B$13,$C$15,$C$18))))</f>
        <v>-NA-</v>
      </c>
      <c r="D318" s="147">
        <f>+IF($B316&lt;=$B$4,D240,IF($B316&lt;=$B$7,D243,IF($B316&lt;=$B$10,D246,IF($B316&lt;=$B$13,D249,D252))))</f>
        <v>0</v>
      </c>
    </row>
    <row r="319" spans="1:4" ht="12.75">
      <c r="A319" s="89" t="s">
        <v>492</v>
      </c>
      <c r="C319" s="142" t="str">
        <f>+IF(B319&lt;=$B$4,$C$4,IF(B319&lt;=$B$7,$C$7,IF(B319&lt;=$B$10,$C$10,IF(B319&lt;=$B$13,$C$13,$C$16))))</f>
        <v>3/8 CY tractor loader/backhoe</v>
      </c>
      <c r="D319" s="147">
        <f>+IF($B319&lt;=$B$4,D241,IF($B319&lt;=$B$7,D244,IF($B319&lt;=$B$10,D247,IF($B319&lt;=$B$13,D250,D253))))</f>
        <v>4.85</v>
      </c>
    </row>
    <row r="320" spans="1:4" ht="12.75">
      <c r="A320" s="89"/>
      <c r="C320" s="142" t="str">
        <f>+IF(B319&lt;=$B$4,$C$5,IF(B319&lt;=$B$7,$C$8,IF(B319&lt;=$B$10,$C$11,IF(B322&lt;=$B$13,$C$14,$C$17))))</f>
        <v>1/2 CY tractor loader/backhoe</v>
      </c>
      <c r="D320" s="147">
        <f>+IF($B319&lt;=$B$4,D242,IF($B319&lt;=$B$7,D245,IF($B319&lt;=$B$10,D248,IF($B319&lt;=$B$13,D251,D254))))</f>
        <v>4.94</v>
      </c>
    </row>
    <row r="321" spans="1:4" ht="12.75">
      <c r="A321" s="89"/>
      <c r="C321" s="142" t="str">
        <f>+IF(B319&lt;=$B$4,$C$6,IF(B319&lt;=$B$7,$C$9,IF(B319&lt;=$B$10,$C$12,IF(B319&lt;=$B$13,$C$15,$C$18))))</f>
        <v>-NA-</v>
      </c>
      <c r="D321" s="147">
        <f>+IF($B319&lt;=$B$4,D243,IF($B319&lt;=$B$7,D246,IF($B319&lt;=$B$10,D249,IF($B319&lt;=$B$13,D252,D255))))</f>
        <v>4.27</v>
      </c>
    </row>
    <row r="322" spans="1:4" ht="12.75">
      <c r="A322" s="89" t="s">
        <v>493</v>
      </c>
      <c r="C322" s="142" t="str">
        <f>+IF(B322&lt;=$B$4,$C$4,IF(B322&lt;=$B$7,$C$7,IF(B322&lt;=$B$10,$C$10,IF(B322&lt;=$B$13,$C$13,$C$16))))</f>
        <v>3/8 CY tractor loader/backhoe</v>
      </c>
      <c r="D322" s="147">
        <f>+IF($B322&lt;=$B$4,D244,IF($B322&lt;=$B$7,D247,IF($B322&lt;=$B$10,D250,IF($B322&lt;=$B$13,D253,D256))))</f>
        <v>5.7</v>
      </c>
    </row>
    <row r="323" spans="1:4" ht="12.75">
      <c r="A323" s="157"/>
      <c r="C323" s="142" t="str">
        <f>+IF(B322&lt;=$B$4,$C$5,IF(B322&lt;=$B$7,$C$8,IF(B322&lt;=$B$10,$C$11,IF(B325&lt;=$B$13,$C$14,$C$17))))</f>
        <v>1/2 CY tractor loader/backhoe</v>
      </c>
      <c r="D323" s="147">
        <f>+IF($B322&lt;=$B$4,D245,IF($B322&lt;=$B$7,D248,IF($B322&lt;=$B$10,D251,IF($B322&lt;=$B$13,D254,D257))))</f>
        <v>3.32</v>
      </c>
    </row>
    <row r="324" spans="1:4" ht="12.75">
      <c r="A324" s="157"/>
      <c r="C324" s="142" t="str">
        <f>+IF(B322&lt;=$B$4,$C$6,IF(B322&lt;=$B$7,$C$9,IF(B322&lt;=$B$10,$C$12,IF(B322&lt;=$B$13,$C$15,$C$18))))</f>
        <v>-NA-</v>
      </c>
      <c r="D324" s="147">
        <f>+IF($B322&lt;=$B$4,D246,IF($B322&lt;=$B$7,D249,IF($B322&lt;=$B$10,D252,IF($B322&lt;=$B$13,D255,D258))))</f>
        <v>2.59</v>
      </c>
    </row>
    <row r="325" ht="12.75">
      <c r="A325" s="157"/>
    </row>
  </sheetData>
  <sheetProtection password="DEA7" sheet="1" objects="1" scenarios="1" selectLockedCells="1"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D21"/>
  <sheetViews>
    <sheetView workbookViewId="0" topLeftCell="A1">
      <selection activeCell="A52" sqref="A52"/>
    </sheetView>
  </sheetViews>
  <sheetFormatPr defaultColWidth="9.140625" defaultRowHeight="12.75"/>
  <cols>
    <col min="1" max="1" width="32.140625" style="0" customWidth="1"/>
    <col min="2" max="2" width="14.57421875" style="0" bestFit="1" customWidth="1"/>
    <col min="3" max="3" width="16.8515625" style="0" bestFit="1" customWidth="1"/>
    <col min="4" max="4" width="14.57421875" style="0" bestFit="1" customWidth="1"/>
  </cols>
  <sheetData>
    <row r="1" spans="1:3" ht="12.75">
      <c r="A1" s="1" t="s">
        <v>119</v>
      </c>
      <c r="C1" s="15" t="s">
        <v>124</v>
      </c>
    </row>
    <row r="2" spans="1:3" ht="12.75">
      <c r="A2" s="35" t="s">
        <v>120</v>
      </c>
      <c r="B2" s="35" t="s">
        <v>121</v>
      </c>
      <c r="C2" s="15">
        <v>1.47</v>
      </c>
    </row>
    <row r="3" spans="1:3" ht="12.75">
      <c r="A3" s="35" t="s">
        <v>120</v>
      </c>
      <c r="B3" s="35" t="s">
        <v>122</v>
      </c>
      <c r="C3" s="15">
        <v>2.93</v>
      </c>
    </row>
    <row r="4" spans="1:3" ht="12.75">
      <c r="A4" s="35" t="s">
        <v>123</v>
      </c>
      <c r="B4" s="35" t="s">
        <v>121</v>
      </c>
      <c r="C4" s="15">
        <v>1.18</v>
      </c>
    </row>
    <row r="5" spans="1:3" ht="12.75">
      <c r="A5" s="35" t="s">
        <v>123</v>
      </c>
      <c r="B5" s="35" t="s">
        <v>122</v>
      </c>
      <c r="C5" s="15">
        <v>2.36</v>
      </c>
    </row>
    <row r="7" ht="12.75">
      <c r="A7" s="1" t="s">
        <v>126</v>
      </c>
    </row>
    <row r="8" spans="1:4" ht="12.75">
      <c r="A8" s="4" t="s">
        <v>130</v>
      </c>
      <c r="B8" s="4" t="s">
        <v>131</v>
      </c>
      <c r="C8" s="4" t="s">
        <v>494</v>
      </c>
      <c r="D8" s="166" t="s">
        <v>495</v>
      </c>
    </row>
    <row r="9" spans="1:4" ht="12.75">
      <c r="A9" s="36" t="s">
        <v>127</v>
      </c>
      <c r="B9" s="15">
        <v>31.5</v>
      </c>
      <c r="C9" s="15">
        <v>4.11</v>
      </c>
      <c r="D9" s="15">
        <f>B9+C9</f>
        <v>35.61</v>
      </c>
    </row>
    <row r="10" spans="1:4" ht="12.75">
      <c r="A10" s="36" t="s">
        <v>128</v>
      </c>
      <c r="B10" s="15">
        <v>39.5</v>
      </c>
      <c r="C10" s="15">
        <v>4.11</v>
      </c>
      <c r="D10" s="15">
        <f>B10+C10</f>
        <v>43.61</v>
      </c>
    </row>
    <row r="11" spans="1:4" ht="12.75">
      <c r="A11" s="36" t="s">
        <v>129</v>
      </c>
      <c r="B11" s="15">
        <v>13.7</v>
      </c>
      <c r="C11" s="15">
        <v>4.11</v>
      </c>
      <c r="D11" s="15">
        <f>B11+C11</f>
        <v>17.81</v>
      </c>
    </row>
    <row r="13" spans="1:2" ht="12.75">
      <c r="A13" s="37" t="s">
        <v>132</v>
      </c>
      <c r="B13" s="2" t="s">
        <v>133</v>
      </c>
    </row>
    <row r="15" spans="3:4" ht="12.75">
      <c r="C15" s="15" t="s">
        <v>120</v>
      </c>
      <c r="D15" s="15" t="s">
        <v>123</v>
      </c>
    </row>
    <row r="16" spans="1:4" ht="12.75">
      <c r="A16">
        <v>1</v>
      </c>
      <c r="B16" s="35" t="s">
        <v>121</v>
      </c>
      <c r="C16" s="2">
        <v>1.47</v>
      </c>
      <c r="D16" s="2">
        <v>1.18</v>
      </c>
    </row>
    <row r="17" spans="1:4" ht="12.75">
      <c r="A17">
        <v>2</v>
      </c>
      <c r="B17" s="35" t="s">
        <v>122</v>
      </c>
      <c r="C17" s="2">
        <v>2.93</v>
      </c>
      <c r="D17" s="2">
        <v>2.36</v>
      </c>
    </row>
    <row r="19" spans="3:4" ht="12.75">
      <c r="C19" s="35" t="s">
        <v>121</v>
      </c>
      <c r="D19" s="35" t="s">
        <v>122</v>
      </c>
    </row>
    <row r="20" spans="1:4" ht="12.75">
      <c r="A20">
        <v>1</v>
      </c>
      <c r="B20" s="15" t="s">
        <v>120</v>
      </c>
      <c r="C20" s="2">
        <v>2.21</v>
      </c>
      <c r="D20" s="2">
        <v>4.4</v>
      </c>
    </row>
    <row r="21" spans="1:4" ht="12.75">
      <c r="A21">
        <v>2</v>
      </c>
      <c r="B21" s="15" t="s">
        <v>123</v>
      </c>
      <c r="C21" s="2">
        <v>1.77</v>
      </c>
      <c r="D21" s="2">
        <v>3.54</v>
      </c>
    </row>
  </sheetData>
  <sheetProtection password="DEA7"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26"/>
  <sheetViews>
    <sheetView workbookViewId="0" topLeftCell="A1">
      <selection activeCell="A52" sqref="A52"/>
    </sheetView>
  </sheetViews>
  <sheetFormatPr defaultColWidth="9.140625" defaultRowHeight="12.75"/>
  <cols>
    <col min="1" max="1" width="22.00390625" style="0" bestFit="1" customWidth="1"/>
    <col min="2" max="2" width="12.421875" style="0" customWidth="1"/>
    <col min="3" max="3" width="15.00390625" style="0" customWidth="1"/>
  </cols>
  <sheetData>
    <row r="1" ht="12.75">
      <c r="A1" s="1" t="s">
        <v>189</v>
      </c>
    </row>
    <row r="2" spans="1:3" ht="25.5" customHeight="1">
      <c r="A2" s="232" t="s">
        <v>140</v>
      </c>
      <c r="B2" s="229" t="s">
        <v>139</v>
      </c>
      <c r="C2" s="232" t="s">
        <v>141</v>
      </c>
    </row>
    <row r="3" spans="1:3" ht="12.75">
      <c r="A3" s="232"/>
      <c r="B3" s="229"/>
      <c r="C3" s="232"/>
    </row>
    <row r="4" spans="1:3" ht="12.75">
      <c r="A4" s="7">
        <v>4</v>
      </c>
      <c r="B4" s="7">
        <v>4</v>
      </c>
      <c r="C4" s="7">
        <v>1200</v>
      </c>
    </row>
    <row r="5" spans="1:3" ht="12.75">
      <c r="A5" s="7">
        <v>4</v>
      </c>
      <c r="B5" s="7">
        <v>6</v>
      </c>
      <c r="C5" s="7">
        <v>1575</v>
      </c>
    </row>
    <row r="6" spans="1:3" ht="12.75">
      <c r="A6" s="7">
        <v>4</v>
      </c>
      <c r="B6" s="7">
        <v>8</v>
      </c>
      <c r="C6" s="7">
        <v>2050</v>
      </c>
    </row>
    <row r="7" spans="1:3" ht="12.75">
      <c r="A7" s="7">
        <v>4</v>
      </c>
      <c r="B7" s="7">
        <v>10</v>
      </c>
      <c r="C7" s="7">
        <v>2600</v>
      </c>
    </row>
    <row r="8" spans="1:3" ht="12.75">
      <c r="A8" s="7">
        <v>4</v>
      </c>
      <c r="B8" s="7">
        <v>12</v>
      </c>
      <c r="C8" s="7">
        <v>3150</v>
      </c>
    </row>
    <row r="9" spans="1:3" ht="13.5" thickBot="1">
      <c r="A9" s="38">
        <v>4</v>
      </c>
      <c r="B9" s="38">
        <v>14</v>
      </c>
      <c r="C9" s="38">
        <v>3700</v>
      </c>
    </row>
    <row r="10" spans="1:3" ht="12.75">
      <c r="A10" s="7">
        <v>5</v>
      </c>
      <c r="B10" s="7">
        <v>4</v>
      </c>
      <c r="C10" s="7">
        <v>1275</v>
      </c>
    </row>
    <row r="11" spans="1:3" ht="12.75">
      <c r="A11" s="7">
        <v>5</v>
      </c>
      <c r="B11" s="7">
        <v>6</v>
      </c>
      <c r="C11" s="7">
        <v>1800</v>
      </c>
    </row>
    <row r="12" spans="1:3" ht="12.75">
      <c r="A12" s="7">
        <v>5</v>
      </c>
      <c r="B12" s="7">
        <v>8</v>
      </c>
      <c r="C12" s="7">
        <v>2300</v>
      </c>
    </row>
    <row r="13" spans="1:3" ht="12.75">
      <c r="A13" s="7">
        <v>5</v>
      </c>
      <c r="B13" s="7">
        <v>10</v>
      </c>
      <c r="C13" s="7">
        <v>2894</v>
      </c>
    </row>
    <row r="14" spans="1:3" ht="12.75">
      <c r="A14" s="7">
        <v>5</v>
      </c>
      <c r="B14" s="7">
        <v>12</v>
      </c>
      <c r="C14" s="7">
        <v>3488</v>
      </c>
    </row>
    <row r="15" spans="1:3" ht="13.5" thickBot="1">
      <c r="A15" s="38">
        <v>5</v>
      </c>
      <c r="B15" s="38">
        <v>14</v>
      </c>
      <c r="C15" s="38">
        <v>4082</v>
      </c>
    </row>
    <row r="16" spans="1:3" ht="12.75">
      <c r="A16" s="7">
        <v>6</v>
      </c>
      <c r="B16" s="7">
        <v>4</v>
      </c>
      <c r="C16" s="7">
        <v>2025</v>
      </c>
    </row>
    <row r="17" spans="1:3" ht="12.75">
      <c r="A17" s="7">
        <v>6</v>
      </c>
      <c r="B17" s="7">
        <v>6</v>
      </c>
      <c r="C17" s="7">
        <v>2675</v>
      </c>
    </row>
    <row r="18" spans="1:3" ht="12.75">
      <c r="A18" s="7">
        <v>6</v>
      </c>
      <c r="B18" s="7">
        <v>8</v>
      </c>
      <c r="C18" s="7">
        <v>3525</v>
      </c>
    </row>
    <row r="19" spans="1:3" ht="12.75">
      <c r="A19" s="7">
        <v>6</v>
      </c>
      <c r="B19" s="7">
        <v>10</v>
      </c>
      <c r="C19" s="7">
        <v>4435</v>
      </c>
    </row>
    <row r="20" spans="1:3" ht="12.75">
      <c r="A20" s="7">
        <v>6</v>
      </c>
      <c r="B20" s="7">
        <v>12</v>
      </c>
      <c r="C20" s="7">
        <v>5345</v>
      </c>
    </row>
    <row r="21" spans="1:3" ht="12.75">
      <c r="A21" s="7">
        <v>6</v>
      </c>
      <c r="B21" s="7">
        <v>14</v>
      </c>
      <c r="C21" s="7">
        <v>6255</v>
      </c>
    </row>
    <row r="23" ht="12.75">
      <c r="A23" s="1" t="s">
        <v>165</v>
      </c>
    </row>
    <row r="24" ht="12.75">
      <c r="A24" s="9">
        <v>4</v>
      </c>
    </row>
    <row r="25" ht="12.75">
      <c r="A25" s="9">
        <v>5</v>
      </c>
    </row>
    <row r="26" ht="12.75">
      <c r="A26" s="9">
        <v>6</v>
      </c>
    </row>
  </sheetData>
  <sheetProtection password="DEA7" sheet="1" objects="1" scenarios="1" selectLockedCells="1"/>
  <mergeCells count="3">
    <mergeCell ref="B2:B3"/>
    <mergeCell ref="A2:A3"/>
    <mergeCell ref="C2:C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Arvind</dc:creator>
  <cp:keywords/>
  <dc:description/>
  <cp:lastModifiedBy>Arvind</cp:lastModifiedBy>
  <dcterms:created xsi:type="dcterms:W3CDTF">2005-11-09T17:23:20Z</dcterms:created>
  <dcterms:modified xsi:type="dcterms:W3CDTF">2006-06-29T18:50:31Z</dcterms:modified>
  <cp:category/>
  <cp:version/>
  <cp:contentType/>
  <cp:contentStatus/>
</cp:coreProperties>
</file>