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<sst xmlns="http://schemas.openxmlformats.org/spreadsheetml/2006/main" count="207" uniqueCount="68">
  <si>
    <t>Land Use</t>
  </si>
  <si>
    <t>Totally paved areas</t>
  </si>
  <si>
    <t>Freeways</t>
  </si>
  <si>
    <t>Industrial</t>
  </si>
  <si>
    <t>Commercial</t>
  </si>
  <si>
    <t>Institutional</t>
  </si>
  <si>
    <t>Construction sites</t>
  </si>
  <si>
    <t>5 um</t>
  </si>
  <si>
    <t>20 um</t>
  </si>
  <si>
    <t>% of area needed as pond:</t>
  </si>
  <si>
    <t>sandy soil</t>
  </si>
  <si>
    <t>silty soil</t>
  </si>
  <si>
    <t>clayey soil</t>
  </si>
  <si>
    <t>low den resid</t>
  </si>
  <si>
    <t>med den resid</t>
  </si>
  <si>
    <t>high den resid</t>
  </si>
  <si>
    <t>Open space/parks</t>
  </si>
  <si>
    <t>settling velocity (ft3/sec/ft2):</t>
  </si>
  <si>
    <t>Objectives and site information:</t>
  </si>
  <si>
    <t>land use and area:</t>
  </si>
  <si>
    <t>area (acres)</t>
  </si>
  <si>
    <t>pond surface area (ac)</t>
  </si>
  <si>
    <t>wet storage volume (ac-ft)</t>
  </si>
  <si>
    <t>Total:</t>
  </si>
  <si>
    <t>Low den resid</t>
  </si>
  <si>
    <t>Med den resid</t>
  </si>
  <si>
    <t>High den resid</t>
  </si>
  <si>
    <t>treatment objective:</t>
  </si>
  <si>
    <t>sandy</t>
  </si>
  <si>
    <t>silty</t>
  </si>
  <si>
    <t>soil</t>
  </si>
  <si>
    <t>clayey</t>
  </si>
  <si>
    <t>pond surface area (acres):</t>
  </si>
  <si>
    <t>pond wet storage volume (acre-ft):</t>
  </si>
  <si>
    <t>Oct 25, 2003 R. Pitt</t>
  </si>
  <si>
    <t>pond storage depth (ft)</t>
  </si>
  <si>
    <t>top surface area (acres)</t>
  </si>
  <si>
    <t>radius (ft):</t>
  </si>
  <si>
    <t>radius of top area (ft)</t>
  </si>
  <si>
    <t>max discharge for 5 um (cfs)</t>
  </si>
  <si>
    <t>max weir length (ft)</t>
  </si>
  <si>
    <t>max orifice dia (ft)</t>
  </si>
  <si>
    <t>min surface area (ac) required for v-notch weirs:</t>
  </si>
  <si>
    <t>22.5 delta</t>
  </si>
  <si>
    <t>30 delta</t>
  </si>
  <si>
    <t>45 delta</t>
  </si>
  <si>
    <t>65 delta</t>
  </si>
  <si>
    <t>90 delta</t>
  </si>
  <si>
    <t>120 delta</t>
  </si>
  <si>
    <t>average side slope (%)*</t>
  </si>
  <si>
    <t>The "best" pond is usually the one having the smallest top surface area (and therefore least cost) that meets the following side slope criterion:</t>
  </si>
  <si>
    <t>The outlet device controls the discharge rate and is selected to provide the necessary particle size control. These calculations are based on 5 um particle size controls, corresponding to about a 90% suspended solids control.</t>
  </si>
  <si>
    <t>The device that should be selected must meet the surface overflow rate objective (the ratio of the pond discharge to the pond surface area).</t>
  </si>
  <si>
    <t>The rectangular weir and the orifice calculations show the size of these devices needed to meet this objective. The V-notch weir calculations show the minimum surface area needed to meed this objective. Select the device that is shown to most closely match the pond shape.</t>
  </si>
  <si>
    <t>The "delta" columns show the excess areas in the pond designs that meet these objectives. The V-notch weirs having a delta closest to zero (but still positive) and meets the slope criterion, is likely the best selection.</t>
  </si>
  <si>
    <t>20 um (about 65% SS)</t>
  </si>
  <si>
    <t>5 um (about 90% SS)</t>
  </si>
  <si>
    <t>max discharge for 20 um (cfs)</t>
  </si>
  <si>
    <t>runoff depth for 1.25 in rain (5 um control)</t>
  </si>
  <si>
    <t>(use 1/3 of these volumes for 20 um control)</t>
  </si>
  <si>
    <t>The above areas and volumes should be reduced if upland infiltration devices reduce the volume of runoff to the sediment pond.</t>
  </si>
  <si>
    <t xml:space="preserve">These design suggestions are for the "live" storage component of a wet detention pond. The surface area is the normal pond area which should be at least 3 feet deep, plus additional depth for sediment storage. </t>
  </si>
  <si>
    <t xml:space="preserve">* the pond side slopes should be in the range of about 10 to 25% (steep enough to provide good drainage, but not so steep to cause potential safety problems). </t>
  </si>
  <si>
    <t>(negative side sopes may be calculated, indicating that the top surface area is smaller than the  normal surface area. Obviously, these are not suitable pond configurations).</t>
  </si>
  <si>
    <t>Fill in values highlighted in yellow and don't change the other cells. Examine the orange cells.</t>
  </si>
  <si>
    <t>Pond Size and Shape Calculator (verify designs with continuous models and field verification)</t>
  </si>
  <si>
    <t>If a tank, the slope is obviously infinite and the "pond" top and bottom surface areas would be the same.</t>
  </si>
  <si>
    <t>60 delta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</si>
</sst>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3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workbookViewId="0" topLeftCell="I1">
      <selection activeCell="T5" sqref="T5"/>
    </sheetView>
  </sheetViews>
  <sheetFormatPr defaultColWidth="9.140625" defaultRowHeight="12.75"/>
  <cols>
    <col min="1" max="1" width="7.421875" style="0" customWidth="1"/>
    <col min="3" max="3" width="8.421875" style="0" customWidth="1"/>
    <col min="4" max="4" width="8.28125" style="0" customWidth="1"/>
    <col min="5" max="5" width="7.57421875" style="0" customWidth="1"/>
    <col min="6" max="6" width="12.7109375" style="0" customWidth="1"/>
    <col min="7" max="7" width="9.28125" style="0" customWidth="1"/>
    <col min="8" max="8" width="11.28125" style="0" customWidth="1"/>
    <col min="9" max="9" width="10.7109375" style="0" customWidth="1"/>
    <col min="10" max="10" width="9.7109375" style="0" customWidth="1"/>
    <col min="11" max="11" width="11.00390625" style="0" customWidth="1"/>
    <col min="12" max="12" width="12.8515625" style="0" customWidth="1"/>
    <col min="13" max="13" width="8.8515625" style="0" customWidth="1"/>
    <col min="14" max="14" width="10.421875" style="0" customWidth="1"/>
    <col min="15" max="15" width="7.7109375" style="0" customWidth="1"/>
    <col min="16" max="16" width="8.28125" style="0" customWidth="1"/>
    <col min="17" max="17" width="7.140625" style="0" customWidth="1"/>
    <col min="18" max="18" width="6.8515625" style="0" customWidth="1"/>
    <col min="19" max="19" width="7.57421875" style="0" customWidth="1"/>
    <col min="20" max="20" width="7.00390625" style="0" customWidth="1"/>
    <col min="21" max="21" width="7.140625" style="0" customWidth="1"/>
    <col min="22" max="22" width="7.28125" style="0" customWidth="1"/>
    <col min="23" max="23" width="7.8515625" style="0" customWidth="1"/>
    <col min="24" max="24" width="8.00390625" style="0" customWidth="1"/>
    <col min="25" max="25" width="7.28125" style="0" customWidth="1"/>
    <col min="26" max="26" width="8.140625" style="0" customWidth="1"/>
  </cols>
  <sheetData>
    <row r="1" s="2" customFormat="1" ht="11.25">
      <c r="A1" s="1" t="s">
        <v>65</v>
      </c>
    </row>
    <row r="2" spans="1:4" s="2" customFormat="1" ht="11.25">
      <c r="A2" s="2" t="s">
        <v>34</v>
      </c>
      <c r="D2" s="2" t="s">
        <v>64</v>
      </c>
    </row>
    <row r="3" s="2" customFormat="1" ht="11.25"/>
    <row r="4" spans="1:3" s="2" customFormat="1" ht="11.25">
      <c r="A4" s="1" t="s">
        <v>18</v>
      </c>
      <c r="B4" s="1"/>
      <c r="C4" s="1"/>
    </row>
    <row r="5" spans="2:4" s="2" customFormat="1" ht="11.25">
      <c r="B5" s="1" t="s">
        <v>27</v>
      </c>
      <c r="C5" s="1"/>
      <c r="D5" s="1" t="s">
        <v>56</v>
      </c>
    </row>
    <row r="6" spans="1:7" s="2" customFormat="1" ht="46.5" customHeight="1">
      <c r="A6" s="1" t="s">
        <v>30</v>
      </c>
      <c r="B6" s="1" t="s">
        <v>19</v>
      </c>
      <c r="C6" s="1"/>
      <c r="D6" s="3" t="s">
        <v>20</v>
      </c>
      <c r="E6" s="3" t="s">
        <v>21</v>
      </c>
      <c r="F6" s="4" t="s">
        <v>22</v>
      </c>
      <c r="G6" s="5"/>
    </row>
    <row r="7" spans="1:12" s="2" customFormat="1" ht="11.25">
      <c r="A7" s="2" t="s">
        <v>28</v>
      </c>
      <c r="B7" s="2" t="s">
        <v>1</v>
      </c>
      <c r="D7" s="6">
        <v>0</v>
      </c>
      <c r="E7" s="7">
        <f aca="true" t="shared" si="0" ref="E7:E16">D7*C84*0.01</f>
        <v>0</v>
      </c>
      <c r="F7" s="8">
        <f aca="true" t="shared" si="1" ref="F7:F16">D7*F84/12</f>
        <v>0</v>
      </c>
      <c r="H7" s="9" t="s">
        <v>32</v>
      </c>
      <c r="I7" s="1"/>
      <c r="J7" s="1"/>
      <c r="K7" s="10">
        <f>E38</f>
        <v>0.20658</v>
      </c>
      <c r="L7" s="11" t="s">
        <v>37</v>
      </c>
    </row>
    <row r="8" spans="1:12" s="2" customFormat="1" ht="11.25">
      <c r="A8" s="2" t="s">
        <v>28</v>
      </c>
      <c r="B8" s="2" t="s">
        <v>2</v>
      </c>
      <c r="D8" s="6">
        <v>0</v>
      </c>
      <c r="E8" s="7">
        <f t="shared" si="0"/>
        <v>0</v>
      </c>
      <c r="F8" s="8">
        <f t="shared" si="1"/>
        <v>0</v>
      </c>
      <c r="H8" s="9" t="s">
        <v>33</v>
      </c>
      <c r="I8" s="9"/>
      <c r="J8" s="13"/>
      <c r="K8" s="14">
        <f>F38</f>
        <v>0.6485416666666667</v>
      </c>
      <c r="L8" s="12">
        <f>POWER(K7*43560/3.1414,0.5)</f>
        <v>53.521275198138866</v>
      </c>
    </row>
    <row r="9" spans="1:14" s="2" customFormat="1" ht="11.25">
      <c r="A9" s="2" t="s">
        <v>28</v>
      </c>
      <c r="B9" s="2" t="s">
        <v>3</v>
      </c>
      <c r="D9" s="6">
        <v>0</v>
      </c>
      <c r="E9" s="7">
        <f t="shared" si="0"/>
        <v>0</v>
      </c>
      <c r="F9" s="8">
        <f t="shared" si="1"/>
        <v>0</v>
      </c>
      <c r="J9" s="15"/>
      <c r="K9" s="16"/>
      <c r="L9" s="16"/>
      <c r="M9" s="16"/>
      <c r="N9" s="7"/>
    </row>
    <row r="10" spans="1:20" s="2" customFormat="1" ht="11.25">
      <c r="A10" s="2" t="s">
        <v>28</v>
      </c>
      <c r="B10" s="2" t="s">
        <v>4</v>
      </c>
      <c r="D10" s="6">
        <v>0</v>
      </c>
      <c r="E10" s="7">
        <f t="shared" si="0"/>
        <v>0</v>
      </c>
      <c r="F10" s="8">
        <f t="shared" si="1"/>
        <v>0</v>
      </c>
      <c r="H10" s="24" t="s">
        <v>35</v>
      </c>
      <c r="I10" s="25" t="s">
        <v>36</v>
      </c>
      <c r="J10" s="27" t="s">
        <v>38</v>
      </c>
      <c r="K10" s="26" t="s">
        <v>49</v>
      </c>
      <c r="L10" s="26" t="s">
        <v>39</v>
      </c>
      <c r="M10" s="26" t="s">
        <v>40</v>
      </c>
      <c r="N10" s="28" t="s">
        <v>41</v>
      </c>
      <c r="O10" s="22" t="s">
        <v>42</v>
      </c>
      <c r="P10" s="22"/>
      <c r="Q10" s="22"/>
      <c r="R10" s="22"/>
      <c r="S10" s="22"/>
      <c r="T10" s="22"/>
    </row>
    <row r="11" spans="1:26" s="2" customFormat="1" ht="11.25">
      <c r="A11" s="2" t="s">
        <v>28</v>
      </c>
      <c r="B11" s="2" t="s">
        <v>5</v>
      </c>
      <c r="D11" s="6">
        <v>0</v>
      </c>
      <c r="E11" s="7">
        <f t="shared" si="0"/>
        <v>0</v>
      </c>
      <c r="F11" s="8">
        <f t="shared" si="1"/>
        <v>0</v>
      </c>
      <c r="H11" s="24"/>
      <c r="I11" s="25"/>
      <c r="J11" s="27"/>
      <c r="K11" s="26"/>
      <c r="L11" s="26"/>
      <c r="M11" s="26"/>
      <c r="N11" s="28"/>
      <c r="O11" s="17">
        <v>22.5</v>
      </c>
      <c r="P11" s="2" t="s">
        <v>43</v>
      </c>
      <c r="Q11" s="1">
        <v>30</v>
      </c>
      <c r="R11" s="2" t="s">
        <v>44</v>
      </c>
      <c r="S11" s="1">
        <v>45</v>
      </c>
      <c r="T11" s="2" t="s">
        <v>45</v>
      </c>
      <c r="U11" s="1">
        <v>65</v>
      </c>
      <c r="V11" s="2" t="s">
        <v>67</v>
      </c>
      <c r="W11" s="1">
        <v>90</v>
      </c>
      <c r="X11" s="2" t="s">
        <v>47</v>
      </c>
      <c r="Y11" s="1">
        <v>120</v>
      </c>
      <c r="Z11" s="2" t="s">
        <v>48</v>
      </c>
    </row>
    <row r="12" spans="1:26" s="2" customFormat="1" ht="11.25">
      <c r="A12" s="2" t="s">
        <v>28</v>
      </c>
      <c r="B12" s="2" t="s">
        <v>24</v>
      </c>
      <c r="D12" s="6">
        <v>0</v>
      </c>
      <c r="E12" s="7">
        <f t="shared" si="0"/>
        <v>0</v>
      </c>
      <c r="F12" s="8">
        <f t="shared" si="1"/>
        <v>0</v>
      </c>
      <c r="H12" s="2">
        <v>0.25</v>
      </c>
      <c r="I12" s="20">
        <f>2*($K$8/H12)-$K$7</f>
        <v>4.981753333333334</v>
      </c>
      <c r="J12" s="15">
        <f>POWER(I12*43560/3.1414,0.5)</f>
        <v>262.82908666294566</v>
      </c>
      <c r="K12" s="18">
        <f aca="true" t="shared" si="2" ref="K12:K28">100*H12/(J12-$L$8)</f>
        <v>0.11944131384797134</v>
      </c>
      <c r="L12" s="16">
        <f>I12*43560*0.00013</f>
        <v>28.210672776000003</v>
      </c>
      <c r="M12" s="18">
        <f>0.2*H12+(L12/(3.33*POWER(H12,1.5)))</f>
        <v>67.82338805045043</v>
      </c>
      <c r="N12" s="19">
        <f>SQRT(L12/(30.85*POWER(H12,0.5)))</f>
        <v>1.3523656630559067</v>
      </c>
      <c r="O12" s="19">
        <f>0.497*POWER(H12,2.5)/(0.00013*43560)</f>
        <v>0.0027426802994984815</v>
      </c>
      <c r="P12" s="19">
        <f>I12-O12</f>
        <v>4.979010653033836</v>
      </c>
      <c r="Q12" s="19">
        <f>0.676*POWER(H12,2.5)/(0.00013*43560)</f>
        <v>0.00373048668503214</v>
      </c>
      <c r="R12" s="19">
        <f>I12-Q12</f>
        <v>4.978022846648302</v>
      </c>
      <c r="S12" s="19">
        <f>1.035*POWER(H12,2.5)/(0.00013*43560)</f>
        <v>0.005711617927527018</v>
      </c>
      <c r="T12" s="19">
        <f>I12-S12</f>
        <v>4.976041715405807</v>
      </c>
      <c r="U12" s="19">
        <f>1.443*POWER(H12,2.5)/(0.00013*43560)</f>
        <v>0.007963154269972452</v>
      </c>
      <c r="V12" s="19">
        <f>I12-U12</f>
        <v>4.973790179063362</v>
      </c>
      <c r="W12" s="19">
        <f>2.5*POWER(H12,2.5)/(0.00013*43560)</f>
        <v>0.013796178568905842</v>
      </c>
      <c r="X12" s="19">
        <f>I12-W12</f>
        <v>4.967957154764428</v>
      </c>
      <c r="Y12" s="19">
        <f>4.4*POWER(H12,2.5)/(0.00013*43560)</f>
        <v>0.024281274281274284</v>
      </c>
      <c r="Z12" s="19">
        <f>I12-Y12</f>
        <v>4.957472059052059</v>
      </c>
    </row>
    <row r="13" spans="1:26" s="2" customFormat="1" ht="11.25">
      <c r="A13" s="2" t="s">
        <v>28</v>
      </c>
      <c r="B13" s="2" t="s">
        <v>25</v>
      </c>
      <c r="D13" s="6">
        <v>0</v>
      </c>
      <c r="E13" s="7">
        <f t="shared" si="0"/>
        <v>0</v>
      </c>
      <c r="F13" s="8">
        <f t="shared" si="1"/>
        <v>0</v>
      </c>
      <c r="H13" s="2">
        <v>0.5</v>
      </c>
      <c r="I13" s="20">
        <f aca="true" t="shared" si="3" ref="I13:I28">2*($K$8/H13)-$K$7</f>
        <v>2.3875866666666665</v>
      </c>
      <c r="J13" s="15">
        <f aca="true" t="shared" si="4" ref="J13:J28">POWER(I13*43560/3.1414,0.5)</f>
        <v>181.95411770174817</v>
      </c>
      <c r="K13" s="18">
        <f t="shared" si="2"/>
        <v>0.38930852128881954</v>
      </c>
      <c r="L13" s="16">
        <f aca="true" t="shared" si="5" ref="L13:L28">I13*43560*0.00013</f>
        <v>13.520425775999998</v>
      </c>
      <c r="M13" s="18">
        <f aca="true" t="shared" si="6" ref="M13:M28">0.2*H13+(L13/(3.33*POWER(H13,1.5)))</f>
        <v>11.583945646533317</v>
      </c>
      <c r="N13" s="19">
        <f aca="true" t="shared" si="7" ref="N13:N28">SQRT(L13/(30.85*POWER(H13,0.5)))</f>
        <v>0.7872725315580377</v>
      </c>
      <c r="O13" s="19">
        <f aca="true" t="shared" si="8" ref="O13:O28">0.497*POWER(H13,2.5)/(0.00013*43560)</f>
        <v>0.015514942707217018</v>
      </c>
      <c r="P13" s="19">
        <f aca="true" t="shared" si="9" ref="P13:P28">I13-O13</f>
        <v>2.3720717239594493</v>
      </c>
      <c r="Q13" s="19">
        <f aca="true" t="shared" si="10" ref="Q13:Q28">0.676*POWER(H13,2.5)/(0.00013*43560)</f>
        <v>0.021102819456898805</v>
      </c>
      <c r="R13" s="19">
        <f aca="true" t="shared" si="11" ref="R13:R28">I13-Q13</f>
        <v>2.366483847209768</v>
      </c>
      <c r="S13" s="19">
        <f aca="true" t="shared" si="12" ref="S13:S28">1.035*POWER(H13,2.5)/(0.00013*43560)</f>
        <v>0.03230979014480808</v>
      </c>
      <c r="T13" s="19">
        <f aca="true" t="shared" si="13" ref="T13:T28">I13-S13</f>
        <v>2.3552768765218586</v>
      </c>
      <c r="U13" s="19">
        <f aca="true" t="shared" si="14" ref="U13:U28">1.443*POWER(H13,2.5)/(0.00013*43560)</f>
        <v>0.04504640307145706</v>
      </c>
      <c r="V13" s="19">
        <f aca="true" t="shared" si="15" ref="V13:V28">I13-U13</f>
        <v>2.3425402635952093</v>
      </c>
      <c r="W13" s="19">
        <f aca="true" t="shared" si="16" ref="W13:W28">2.5*POWER(H13,2.5)/(0.00013*43560)</f>
        <v>0.07804297136427071</v>
      </c>
      <c r="X13" s="19">
        <f aca="true" t="shared" si="17" ref="X13:X28">I13-W13</f>
        <v>2.309543695302396</v>
      </c>
      <c r="Y13" s="19">
        <f aca="true" t="shared" si="18" ref="Y13:Y28">4.4*POWER(H13,2.5)/(0.00013*43560)</f>
        <v>0.1373556296011165</v>
      </c>
      <c r="Z13" s="19">
        <f aca="true" t="shared" si="19" ref="Z13:Z28">I13-Y13</f>
        <v>2.25023103706555</v>
      </c>
    </row>
    <row r="14" spans="1:26" s="2" customFormat="1" ht="11.25">
      <c r="A14" s="2" t="s">
        <v>28</v>
      </c>
      <c r="B14" s="2" t="s">
        <v>26</v>
      </c>
      <c r="D14" s="6">
        <v>0</v>
      </c>
      <c r="E14" s="7">
        <f t="shared" si="0"/>
        <v>0</v>
      </c>
      <c r="F14" s="8">
        <f t="shared" si="1"/>
        <v>0</v>
      </c>
      <c r="H14" s="2">
        <v>0.75</v>
      </c>
      <c r="I14" s="20">
        <f t="shared" si="3"/>
        <v>1.5228644444444446</v>
      </c>
      <c r="J14" s="15">
        <f t="shared" si="4"/>
        <v>145.3158341893137</v>
      </c>
      <c r="K14" s="18">
        <f t="shared" si="2"/>
        <v>0.8170418903282767</v>
      </c>
      <c r="L14" s="16">
        <f t="shared" si="5"/>
        <v>8.623676776</v>
      </c>
      <c r="M14" s="18">
        <f t="shared" si="6"/>
        <v>4.137092779201541</v>
      </c>
      <c r="N14" s="19">
        <f t="shared" si="7"/>
        <v>0.5681373420382979</v>
      </c>
      <c r="O14" s="19">
        <f t="shared" si="8"/>
        <v>0.04275415464884636</v>
      </c>
      <c r="P14" s="19">
        <f t="shared" si="9"/>
        <v>1.4801102897955982</v>
      </c>
      <c r="Q14" s="19">
        <f t="shared" si="10"/>
        <v>0.05815253227891377</v>
      </c>
      <c r="R14" s="19">
        <f t="shared" si="11"/>
        <v>1.4647119121655308</v>
      </c>
      <c r="S14" s="19">
        <f t="shared" si="12"/>
        <v>0.08903531199508245</v>
      </c>
      <c r="T14" s="19">
        <f t="shared" si="13"/>
        <v>1.4338291324493622</v>
      </c>
      <c r="U14" s="19">
        <f t="shared" si="14"/>
        <v>0.12413329005691208</v>
      </c>
      <c r="V14" s="19">
        <f t="shared" si="15"/>
        <v>1.3987311543875325</v>
      </c>
      <c r="W14" s="19">
        <f t="shared" si="16"/>
        <v>0.21506114008474025</v>
      </c>
      <c r="X14" s="19">
        <f t="shared" si="17"/>
        <v>1.3078033043597044</v>
      </c>
      <c r="Y14" s="19">
        <f t="shared" si="18"/>
        <v>0.37850760654914284</v>
      </c>
      <c r="Z14" s="19">
        <f t="shared" si="19"/>
        <v>1.1443568378953017</v>
      </c>
    </row>
    <row r="15" spans="1:26" s="2" customFormat="1" ht="11.25">
      <c r="A15" s="2" t="s">
        <v>28</v>
      </c>
      <c r="B15" s="2" t="s">
        <v>16</v>
      </c>
      <c r="D15" s="6">
        <v>0</v>
      </c>
      <c r="E15" s="7">
        <f t="shared" si="0"/>
        <v>0</v>
      </c>
      <c r="F15" s="8">
        <f t="shared" si="1"/>
        <v>0</v>
      </c>
      <c r="H15" s="2">
        <v>1</v>
      </c>
      <c r="I15" s="20">
        <f t="shared" si="3"/>
        <v>1.0905033333333334</v>
      </c>
      <c r="J15" s="15">
        <f t="shared" si="4"/>
        <v>122.96904905256997</v>
      </c>
      <c r="K15" s="18">
        <f t="shared" si="2"/>
        <v>1.4399309646643126</v>
      </c>
      <c r="L15" s="16">
        <f t="shared" si="5"/>
        <v>6.175302275999999</v>
      </c>
      <c r="M15" s="18">
        <f t="shared" si="6"/>
        <v>2.0544451279279277</v>
      </c>
      <c r="N15" s="19">
        <f t="shared" si="7"/>
        <v>0.4474057138704084</v>
      </c>
      <c r="O15" s="19">
        <f t="shared" si="8"/>
        <v>0.08776576958395141</v>
      </c>
      <c r="P15" s="19">
        <f t="shared" si="9"/>
        <v>1.002737563749382</v>
      </c>
      <c r="Q15" s="19">
        <f t="shared" si="10"/>
        <v>0.11937557392102847</v>
      </c>
      <c r="R15" s="19">
        <f t="shared" si="11"/>
        <v>0.9711277594123049</v>
      </c>
      <c r="S15" s="19">
        <f t="shared" si="12"/>
        <v>0.18277177368086459</v>
      </c>
      <c r="T15" s="19">
        <f t="shared" si="13"/>
        <v>0.9077315596524688</v>
      </c>
      <c r="U15" s="19">
        <f t="shared" si="14"/>
        <v>0.2548209366391185</v>
      </c>
      <c r="V15" s="19">
        <f t="shared" si="15"/>
        <v>0.8356823966942148</v>
      </c>
      <c r="W15" s="19">
        <f t="shared" si="16"/>
        <v>0.44147771420498694</v>
      </c>
      <c r="X15" s="19">
        <f t="shared" si="17"/>
        <v>0.6490256191283464</v>
      </c>
      <c r="Y15" s="19">
        <f t="shared" si="18"/>
        <v>0.7770007770007771</v>
      </c>
      <c r="Z15" s="19">
        <f t="shared" si="19"/>
        <v>0.3135025563325563</v>
      </c>
    </row>
    <row r="16" spans="1:26" s="2" customFormat="1" ht="11.25">
      <c r="A16" s="2" t="s">
        <v>28</v>
      </c>
      <c r="B16" s="2" t="s">
        <v>6</v>
      </c>
      <c r="D16" s="6">
        <v>0</v>
      </c>
      <c r="E16" s="7">
        <f t="shared" si="0"/>
        <v>0</v>
      </c>
      <c r="F16" s="8">
        <f t="shared" si="1"/>
        <v>0</v>
      </c>
      <c r="H16" s="2">
        <v>1.5</v>
      </c>
      <c r="I16" s="20">
        <f t="shared" si="3"/>
        <v>0.6581422222222223</v>
      </c>
      <c r="J16" s="15">
        <f t="shared" si="4"/>
        <v>95.53053115968005</v>
      </c>
      <c r="K16" s="18">
        <f t="shared" si="2"/>
        <v>3.5706416732855883</v>
      </c>
      <c r="L16" s="16">
        <f t="shared" si="5"/>
        <v>3.7269277759999997</v>
      </c>
      <c r="M16" s="18">
        <f t="shared" si="6"/>
        <v>0.9092139712649797</v>
      </c>
      <c r="N16" s="19">
        <f t="shared" si="7"/>
        <v>0.3140690127665903</v>
      </c>
      <c r="O16" s="19">
        <f t="shared" si="8"/>
        <v>0.24185402140878093</v>
      </c>
      <c r="P16" s="19">
        <f t="shared" si="9"/>
        <v>0.41628820081344137</v>
      </c>
      <c r="Q16" s="19">
        <f t="shared" si="10"/>
        <v>0.32896039934071614</v>
      </c>
      <c r="R16" s="19">
        <f t="shared" si="11"/>
        <v>0.32918182288150616</v>
      </c>
      <c r="S16" s="19">
        <f t="shared" si="12"/>
        <v>0.5036597830142621</v>
      </c>
      <c r="T16" s="19">
        <f t="shared" si="13"/>
        <v>0.15448243920796023</v>
      </c>
      <c r="U16" s="19">
        <f t="shared" si="14"/>
        <v>0.7022039293619132</v>
      </c>
      <c r="V16" s="19">
        <f t="shared" si="15"/>
        <v>-0.04406170713969093</v>
      </c>
      <c r="W16" s="19">
        <f t="shared" si="16"/>
        <v>1.2165695241890389</v>
      </c>
      <c r="X16" s="19">
        <f t="shared" si="17"/>
        <v>-0.5584273019668166</v>
      </c>
      <c r="Y16" s="19">
        <f t="shared" si="18"/>
        <v>2.1411623625727088</v>
      </c>
      <c r="Z16" s="19">
        <f t="shared" si="19"/>
        <v>-1.4830201403504866</v>
      </c>
    </row>
    <row r="17" spans="1:26" s="2" customFormat="1" ht="11.25">
      <c r="A17" s="2" t="s">
        <v>29</v>
      </c>
      <c r="B17" s="2" t="s">
        <v>1</v>
      </c>
      <c r="D17" s="6">
        <v>6.76</v>
      </c>
      <c r="E17" s="7">
        <f aca="true" t="shared" si="20" ref="E17:E26">D17*C84*0.01</f>
        <v>0.2028</v>
      </c>
      <c r="F17" s="8">
        <f aca="true" t="shared" si="21" ref="F17:F26">D17*G84/12</f>
        <v>0.6196666666666667</v>
      </c>
      <c r="H17" s="2">
        <v>2</v>
      </c>
      <c r="I17" s="20">
        <f t="shared" si="3"/>
        <v>0.4419616666666667</v>
      </c>
      <c r="J17" s="15">
        <f t="shared" si="4"/>
        <v>78.2842900142118</v>
      </c>
      <c r="K17" s="18">
        <f t="shared" si="2"/>
        <v>8.076561011875901</v>
      </c>
      <c r="L17" s="16">
        <f t="shared" si="5"/>
        <v>2.5027405259999997</v>
      </c>
      <c r="M17" s="18">
        <f t="shared" si="6"/>
        <v>0.6657214410638119</v>
      </c>
      <c r="N17" s="19">
        <f t="shared" si="7"/>
        <v>0.2395095473195419</v>
      </c>
      <c r="O17" s="19">
        <f t="shared" si="8"/>
        <v>0.4964781666309446</v>
      </c>
      <c r="P17" s="19">
        <f t="shared" si="9"/>
        <v>-0.054516499964277876</v>
      </c>
      <c r="Q17" s="19">
        <f t="shared" si="10"/>
        <v>0.6752902226207618</v>
      </c>
      <c r="R17" s="19">
        <f t="shared" si="11"/>
        <v>-0.23332855595409507</v>
      </c>
      <c r="S17" s="19">
        <f t="shared" si="12"/>
        <v>1.0339132846338586</v>
      </c>
      <c r="T17" s="19">
        <f t="shared" si="13"/>
        <v>-0.5919516179671919</v>
      </c>
      <c r="U17" s="19">
        <f t="shared" si="14"/>
        <v>1.441484898286626</v>
      </c>
      <c r="V17" s="19">
        <f t="shared" si="15"/>
        <v>-0.9995232316199593</v>
      </c>
      <c r="W17" s="19">
        <f t="shared" si="16"/>
        <v>2.497375083656663</v>
      </c>
      <c r="X17" s="19">
        <f t="shared" si="17"/>
        <v>-2.055413416989996</v>
      </c>
      <c r="Y17" s="19">
        <f t="shared" si="18"/>
        <v>4.395380147235728</v>
      </c>
      <c r="Z17" s="19">
        <f t="shared" si="19"/>
        <v>-3.953418480569061</v>
      </c>
    </row>
    <row r="18" spans="1:26" s="2" customFormat="1" ht="11.25">
      <c r="A18" s="2" t="s">
        <v>29</v>
      </c>
      <c r="B18" s="2" t="s">
        <v>2</v>
      </c>
      <c r="D18" s="6">
        <v>0</v>
      </c>
      <c r="E18" s="7">
        <f t="shared" si="20"/>
        <v>0</v>
      </c>
      <c r="F18" s="8">
        <f t="shared" si="21"/>
        <v>0</v>
      </c>
      <c r="H18" s="2">
        <v>2.5</v>
      </c>
      <c r="I18" s="20">
        <f t="shared" si="3"/>
        <v>0.3122533333333334</v>
      </c>
      <c r="J18" s="15">
        <f t="shared" si="4"/>
        <v>65.80150963812605</v>
      </c>
      <c r="K18" s="18">
        <f t="shared" si="2"/>
        <v>20.357917531765047</v>
      </c>
      <c r="L18" s="16">
        <f t="shared" si="5"/>
        <v>1.768228176</v>
      </c>
      <c r="M18" s="18">
        <f t="shared" si="6"/>
        <v>0.6343334164335155</v>
      </c>
      <c r="N18" s="19">
        <f t="shared" si="7"/>
        <v>0.19039545060561014</v>
      </c>
      <c r="O18" s="19">
        <f t="shared" si="8"/>
        <v>0.8673116640087968</v>
      </c>
      <c r="P18" s="19">
        <f t="shared" si="9"/>
        <v>-0.5550583306754634</v>
      </c>
      <c r="Q18" s="19">
        <f t="shared" si="10"/>
        <v>1.179683470563273</v>
      </c>
      <c r="R18" s="19">
        <f t="shared" si="11"/>
        <v>-0.8674301372299397</v>
      </c>
      <c r="S18" s="19">
        <f t="shared" si="12"/>
        <v>1.8061721775635908</v>
      </c>
      <c r="T18" s="19">
        <f t="shared" si="13"/>
        <v>-1.4939188442302576</v>
      </c>
      <c r="U18" s="19">
        <f t="shared" si="14"/>
        <v>2.518170485240833</v>
      </c>
      <c r="V18" s="19">
        <f t="shared" si="15"/>
        <v>-2.2059171519074994</v>
      </c>
      <c r="W18" s="19">
        <f t="shared" si="16"/>
        <v>4.362734728414471</v>
      </c>
      <c r="X18" s="19">
        <f t="shared" si="17"/>
        <v>-4.050481395081137</v>
      </c>
      <c r="Y18" s="19">
        <f t="shared" si="18"/>
        <v>7.67841312200947</v>
      </c>
      <c r="Z18" s="19">
        <f t="shared" si="19"/>
        <v>-7.3661597886761365</v>
      </c>
    </row>
    <row r="19" spans="1:26" s="2" customFormat="1" ht="11.25">
      <c r="A19" s="2" t="s">
        <v>29</v>
      </c>
      <c r="B19" s="2" t="s">
        <v>3</v>
      </c>
      <c r="D19" s="6">
        <v>0</v>
      </c>
      <c r="E19" s="7">
        <f t="shared" si="20"/>
        <v>0</v>
      </c>
      <c r="F19" s="8">
        <f t="shared" si="21"/>
        <v>0</v>
      </c>
      <c r="H19" s="2">
        <v>3</v>
      </c>
      <c r="I19" s="20">
        <f t="shared" si="3"/>
        <v>0.22578111111111113</v>
      </c>
      <c r="J19" s="15">
        <f t="shared" si="4"/>
        <v>55.95335327223779</v>
      </c>
      <c r="K19" s="18">
        <f t="shared" si="2"/>
        <v>123.3513032311468</v>
      </c>
      <c r="L19" s="16">
        <f t="shared" si="5"/>
        <v>1.2785532759999998</v>
      </c>
      <c r="M19" s="18">
        <f t="shared" si="6"/>
        <v>0.6738911990061941</v>
      </c>
      <c r="N19" s="19">
        <f t="shared" si="7"/>
        <v>0.15468618077969984</v>
      </c>
      <c r="O19" s="19">
        <f t="shared" si="8"/>
        <v>1.368132948763084</v>
      </c>
      <c r="P19" s="19">
        <f t="shared" si="9"/>
        <v>-1.1423518376519728</v>
      </c>
      <c r="Q19" s="19">
        <f t="shared" si="10"/>
        <v>1.860881032925241</v>
      </c>
      <c r="R19" s="19">
        <f t="shared" si="11"/>
        <v>-1.6350999218141298</v>
      </c>
      <c r="S19" s="19">
        <f t="shared" si="12"/>
        <v>2.8491299838426394</v>
      </c>
      <c r="T19" s="19">
        <f t="shared" si="13"/>
        <v>-2.6233488727315284</v>
      </c>
      <c r="U19" s="19">
        <f t="shared" si="14"/>
        <v>3.9722652818211874</v>
      </c>
      <c r="V19" s="19">
        <f t="shared" si="15"/>
        <v>-3.7464841707100764</v>
      </c>
      <c r="W19" s="19">
        <f t="shared" si="16"/>
        <v>6.88195648271169</v>
      </c>
      <c r="X19" s="19">
        <f t="shared" si="17"/>
        <v>-6.656175371600579</v>
      </c>
      <c r="Y19" s="19">
        <f t="shared" si="18"/>
        <v>12.112243409572573</v>
      </c>
      <c r="Z19" s="19">
        <f t="shared" si="19"/>
        <v>-11.886462298461462</v>
      </c>
    </row>
    <row r="20" spans="1:26" s="2" customFormat="1" ht="11.25">
      <c r="A20" s="2" t="s">
        <v>29</v>
      </c>
      <c r="B20" s="2" t="s">
        <v>4</v>
      </c>
      <c r="D20" s="6">
        <v>0</v>
      </c>
      <c r="E20" s="7">
        <f t="shared" si="20"/>
        <v>0</v>
      </c>
      <c r="F20" s="8">
        <f t="shared" si="21"/>
        <v>0</v>
      </c>
      <c r="H20" s="2">
        <v>3.5</v>
      </c>
      <c r="I20" s="20">
        <f t="shared" si="3"/>
        <v>0.16401523809523808</v>
      </c>
      <c r="J20" s="15">
        <f t="shared" si="4"/>
        <v>47.68968075801866</v>
      </c>
      <c r="K20" s="18">
        <f t="shared" si="2"/>
        <v>-60.0178910920262</v>
      </c>
      <c r="L20" s="16">
        <f t="shared" si="5"/>
        <v>0.9287854902857141</v>
      </c>
      <c r="M20" s="18">
        <f t="shared" si="6"/>
        <v>0.7425960297904762</v>
      </c>
      <c r="N20" s="19">
        <f t="shared" si="7"/>
        <v>0.12685661416652969</v>
      </c>
      <c r="O20" s="19">
        <f t="shared" si="8"/>
        <v>2.011385320426861</v>
      </c>
      <c r="P20" s="19">
        <f t="shared" si="9"/>
        <v>-1.8473700823316228</v>
      </c>
      <c r="Q20" s="19">
        <f t="shared" si="10"/>
        <v>2.735807800017219</v>
      </c>
      <c r="R20" s="19">
        <f t="shared" si="11"/>
        <v>-2.571792561921981</v>
      </c>
      <c r="S20" s="19">
        <f t="shared" si="12"/>
        <v>4.18869981215654</v>
      </c>
      <c r="T20" s="19">
        <f t="shared" si="13"/>
        <v>-4.024684574061302</v>
      </c>
      <c r="U20" s="19">
        <f t="shared" si="14"/>
        <v>5.839897419267524</v>
      </c>
      <c r="V20" s="19">
        <f t="shared" si="15"/>
        <v>-5.675882181172287</v>
      </c>
      <c r="W20" s="19">
        <f t="shared" si="16"/>
        <v>10.117632396513383</v>
      </c>
      <c r="X20" s="19">
        <f t="shared" si="17"/>
        <v>-9.953617158418144</v>
      </c>
      <c r="Y20" s="19">
        <f t="shared" si="18"/>
        <v>17.807033017863557</v>
      </c>
      <c r="Z20" s="19">
        <f t="shared" si="19"/>
        <v>-17.643017779768318</v>
      </c>
    </row>
    <row r="21" spans="1:26" s="2" customFormat="1" ht="11.25">
      <c r="A21" s="2" t="s">
        <v>29</v>
      </c>
      <c r="B21" s="2" t="s">
        <v>5</v>
      </c>
      <c r="D21" s="6">
        <v>0</v>
      </c>
      <c r="E21" s="7">
        <f t="shared" si="20"/>
        <v>0</v>
      </c>
      <c r="F21" s="8">
        <f t="shared" si="21"/>
        <v>0</v>
      </c>
      <c r="H21" s="2">
        <v>4</v>
      </c>
      <c r="I21" s="20">
        <f t="shared" si="3"/>
        <v>0.11769083333333333</v>
      </c>
      <c r="J21" s="15">
        <f t="shared" si="4"/>
        <v>40.39742048815931</v>
      </c>
      <c r="K21" s="18">
        <f t="shared" si="2"/>
        <v>-30.478850066500254</v>
      </c>
      <c r="L21" s="16">
        <f t="shared" si="5"/>
        <v>0.6664596509999999</v>
      </c>
      <c r="M21" s="18">
        <f t="shared" si="6"/>
        <v>0.8250172541666667</v>
      </c>
      <c r="N21" s="19">
        <f t="shared" si="7"/>
        <v>0.10393081876489284</v>
      </c>
      <c r="O21" s="19">
        <f t="shared" si="8"/>
        <v>2.808504626686445</v>
      </c>
      <c r="P21" s="19">
        <f t="shared" si="9"/>
        <v>-2.6908137933531115</v>
      </c>
      <c r="Q21" s="19">
        <f t="shared" si="10"/>
        <v>3.820018365472911</v>
      </c>
      <c r="R21" s="19">
        <f t="shared" si="11"/>
        <v>-3.7023275321395777</v>
      </c>
      <c r="S21" s="19">
        <f t="shared" si="12"/>
        <v>5.848696757787667</v>
      </c>
      <c r="T21" s="19">
        <f t="shared" si="13"/>
        <v>-5.731005924454333</v>
      </c>
      <c r="U21" s="19">
        <f t="shared" si="14"/>
        <v>8.154269972451791</v>
      </c>
      <c r="V21" s="19">
        <f t="shared" si="15"/>
        <v>-8.036579139118459</v>
      </c>
      <c r="W21" s="19">
        <f t="shared" si="16"/>
        <v>14.127286854559582</v>
      </c>
      <c r="X21" s="19">
        <f t="shared" si="17"/>
        <v>-14.00959602122625</v>
      </c>
      <c r="Y21" s="19">
        <f t="shared" si="18"/>
        <v>24.864024864024866</v>
      </c>
      <c r="Z21" s="19">
        <f t="shared" si="19"/>
        <v>-24.746334030691532</v>
      </c>
    </row>
    <row r="22" spans="1:26" s="2" customFormat="1" ht="11.25">
      <c r="A22" s="2" t="s">
        <v>29</v>
      </c>
      <c r="B22" s="2" t="s">
        <v>24</v>
      </c>
      <c r="D22" s="6">
        <v>0</v>
      </c>
      <c r="E22" s="7">
        <f t="shared" si="20"/>
        <v>0</v>
      </c>
      <c r="F22" s="8">
        <f t="shared" si="21"/>
        <v>0</v>
      </c>
      <c r="H22" s="2">
        <v>4.5</v>
      </c>
      <c r="I22" s="20">
        <f t="shared" si="3"/>
        <v>0.08166074074074073</v>
      </c>
      <c r="J22" s="15">
        <f t="shared" si="4"/>
        <v>33.65030255426525</v>
      </c>
      <c r="K22" s="18">
        <f t="shared" si="2"/>
        <v>-22.646098309573123</v>
      </c>
      <c r="L22" s="16">
        <f t="shared" si="5"/>
        <v>0.46242844266666655</v>
      </c>
      <c r="M22" s="18">
        <f t="shared" si="6"/>
        <v>0.914547271165527</v>
      </c>
      <c r="N22" s="19">
        <f t="shared" si="7"/>
        <v>0.08406042019649776</v>
      </c>
      <c r="O22" s="19">
        <f t="shared" si="8"/>
        <v>3.7701310778537374</v>
      </c>
      <c r="P22" s="19">
        <f t="shared" si="9"/>
        <v>-3.6884703371129968</v>
      </c>
      <c r="Q22" s="19">
        <f t="shared" si="10"/>
        <v>5.1279851280264115</v>
      </c>
      <c r="R22" s="19">
        <f t="shared" si="11"/>
        <v>-5.0463243872856705</v>
      </c>
      <c r="S22" s="19">
        <f t="shared" si="12"/>
        <v>7.851279005188366</v>
      </c>
      <c r="T22" s="19">
        <f t="shared" si="13"/>
        <v>-7.769618264447625</v>
      </c>
      <c r="U22" s="19">
        <f t="shared" si="14"/>
        <v>10.946275946364072</v>
      </c>
      <c r="V22" s="19">
        <f t="shared" si="15"/>
        <v>-10.86461520562333</v>
      </c>
      <c r="W22" s="19">
        <f t="shared" si="16"/>
        <v>18.964442041517795</v>
      </c>
      <c r="X22" s="19">
        <f t="shared" si="17"/>
        <v>-18.882781300777054</v>
      </c>
      <c r="Y22" s="19">
        <f t="shared" si="18"/>
        <v>33.37741799307132</v>
      </c>
      <c r="Z22" s="19">
        <f t="shared" si="19"/>
        <v>-33.29575725233058</v>
      </c>
    </row>
    <row r="23" spans="1:26" s="2" customFormat="1" ht="11.25">
      <c r="A23" s="2" t="s">
        <v>29</v>
      </c>
      <c r="B23" s="2" t="s">
        <v>25</v>
      </c>
      <c r="D23" s="6">
        <v>0</v>
      </c>
      <c r="E23" s="7">
        <f t="shared" si="20"/>
        <v>0</v>
      </c>
      <c r="F23" s="8">
        <f t="shared" si="21"/>
        <v>0</v>
      </c>
      <c r="H23" s="2">
        <v>5</v>
      </c>
      <c r="I23" s="20">
        <f t="shared" si="3"/>
        <v>0.05283666666666667</v>
      </c>
      <c r="J23" s="15">
        <f t="shared" si="4"/>
        <v>27.067616923378026</v>
      </c>
      <c r="K23" s="18">
        <f t="shared" si="2"/>
        <v>-18.90097750589924</v>
      </c>
      <c r="L23" s="16">
        <f t="shared" si="5"/>
        <v>0.29920347599999997</v>
      </c>
      <c r="M23" s="18">
        <f t="shared" si="6"/>
        <v>1.0080365082455283</v>
      </c>
      <c r="N23" s="19">
        <f t="shared" si="7"/>
        <v>0.06585871186334946</v>
      </c>
      <c r="O23" s="19">
        <f t="shared" si="8"/>
        <v>4.906255672182469</v>
      </c>
      <c r="P23" s="19">
        <f t="shared" si="9"/>
        <v>-4.853419005515802</v>
      </c>
      <c r="Q23" s="19">
        <f t="shared" si="10"/>
        <v>6.673297453511768</v>
      </c>
      <c r="R23" s="19">
        <f t="shared" si="11"/>
        <v>-6.6204607868451015</v>
      </c>
      <c r="S23" s="19">
        <f t="shared" si="12"/>
        <v>10.217252757965504</v>
      </c>
      <c r="T23" s="19">
        <f t="shared" si="13"/>
        <v>-10.164416091298838</v>
      </c>
      <c r="U23" s="19">
        <f t="shared" si="14"/>
        <v>14.24492341038089</v>
      </c>
      <c r="V23" s="19">
        <f t="shared" si="15"/>
        <v>-14.192086743714224</v>
      </c>
      <c r="W23" s="19">
        <f t="shared" si="16"/>
        <v>24.67935448783938</v>
      </c>
      <c r="X23" s="19">
        <f t="shared" si="17"/>
        <v>-24.626517821172712</v>
      </c>
      <c r="Y23" s="19">
        <f t="shared" si="18"/>
        <v>43.43566389859731</v>
      </c>
      <c r="Z23" s="19">
        <f t="shared" si="19"/>
        <v>-43.38282723193065</v>
      </c>
    </row>
    <row r="24" spans="1:26" s="2" customFormat="1" ht="11.25">
      <c r="A24" s="2" t="s">
        <v>29</v>
      </c>
      <c r="B24" s="2" t="s">
        <v>26</v>
      </c>
      <c r="D24" s="6">
        <v>0</v>
      </c>
      <c r="E24" s="7">
        <f t="shared" si="20"/>
        <v>0</v>
      </c>
      <c r="F24" s="8">
        <f t="shared" si="21"/>
        <v>0</v>
      </c>
      <c r="H24" s="2">
        <v>6</v>
      </c>
      <c r="I24" s="20">
        <f t="shared" si="3"/>
        <v>0.009600555555555557</v>
      </c>
      <c r="J24" s="15">
        <f t="shared" si="4"/>
        <v>11.537999037374922</v>
      </c>
      <c r="K24" s="18">
        <f t="shared" si="2"/>
        <v>-14.291404932346332</v>
      </c>
      <c r="L24" s="16">
        <f t="shared" si="5"/>
        <v>0.054366026000000005</v>
      </c>
      <c r="M24" s="18">
        <f t="shared" si="6"/>
        <v>1.2011108527114023</v>
      </c>
      <c r="N24" s="19">
        <f t="shared" si="7"/>
        <v>0.026822447101617894</v>
      </c>
      <c r="O24" s="19">
        <f t="shared" si="8"/>
        <v>7.739328685080986</v>
      </c>
      <c r="P24" s="19">
        <f t="shared" si="9"/>
        <v>-7.729728129525431</v>
      </c>
      <c r="Q24" s="19">
        <f t="shared" si="10"/>
        <v>10.526732778902911</v>
      </c>
      <c r="R24" s="19">
        <f t="shared" si="11"/>
        <v>-10.517132223347355</v>
      </c>
      <c r="S24" s="19">
        <f t="shared" si="12"/>
        <v>16.117113056456375</v>
      </c>
      <c r="T24" s="19">
        <f t="shared" si="13"/>
        <v>-16.10751250090082</v>
      </c>
      <c r="U24" s="19">
        <f t="shared" si="14"/>
        <v>22.470525739581213</v>
      </c>
      <c r="V24" s="19">
        <f t="shared" si="15"/>
        <v>-22.46092518402566</v>
      </c>
      <c r="W24" s="19">
        <f t="shared" si="16"/>
        <v>38.93022477404922</v>
      </c>
      <c r="X24" s="19">
        <f t="shared" si="17"/>
        <v>-38.920624218493664</v>
      </c>
      <c r="Y24" s="19">
        <f t="shared" si="18"/>
        <v>68.51719560232665</v>
      </c>
      <c r="Z24" s="19">
        <f t="shared" si="19"/>
        <v>-68.5075950467711</v>
      </c>
    </row>
    <row r="25" spans="1:26" s="2" customFormat="1" ht="11.25">
      <c r="A25" s="2" t="s">
        <v>29</v>
      </c>
      <c r="B25" s="2" t="s">
        <v>16</v>
      </c>
      <c r="D25" s="6">
        <v>0.63</v>
      </c>
      <c r="E25" s="7">
        <f t="shared" si="20"/>
        <v>0.00378</v>
      </c>
      <c r="F25" s="8">
        <f t="shared" si="21"/>
        <v>0.028875</v>
      </c>
      <c r="H25" s="2">
        <v>7</v>
      </c>
      <c r="I25" s="20">
        <f t="shared" si="3"/>
        <v>-0.02128238095238097</v>
      </c>
      <c r="J25" s="15" t="e">
        <f t="shared" si="4"/>
        <v>#NUM!</v>
      </c>
      <c r="K25" s="18" t="e">
        <f t="shared" si="2"/>
        <v>#NUM!</v>
      </c>
      <c r="L25" s="16">
        <f t="shared" si="5"/>
        <v>-0.12051786685714294</v>
      </c>
      <c r="M25" s="18">
        <f t="shared" si="6"/>
        <v>1.3980458398955447</v>
      </c>
      <c r="N25" s="19" t="e">
        <f t="shared" si="7"/>
        <v>#NUM!</v>
      </c>
      <c r="O25" s="19">
        <f t="shared" si="8"/>
        <v>11.378113597223274</v>
      </c>
      <c r="P25" s="19">
        <f t="shared" si="9"/>
        <v>-11.399395978175654</v>
      </c>
      <c r="Q25" s="19">
        <f t="shared" si="10"/>
        <v>15.476065979321797</v>
      </c>
      <c r="R25" s="19">
        <f t="shared" si="11"/>
        <v>-15.497348360274177</v>
      </c>
      <c r="S25" s="19">
        <f t="shared" si="12"/>
        <v>23.69486433224565</v>
      </c>
      <c r="T25" s="19">
        <f t="shared" si="13"/>
        <v>-23.716146713198032</v>
      </c>
      <c r="U25" s="19">
        <f t="shared" si="14"/>
        <v>33.035448532783064</v>
      </c>
      <c r="V25" s="19">
        <f t="shared" si="15"/>
        <v>-33.05673091373544</v>
      </c>
      <c r="W25" s="19">
        <f t="shared" si="16"/>
        <v>57.23397181701847</v>
      </c>
      <c r="X25" s="19">
        <f t="shared" si="17"/>
        <v>-57.25525419797085</v>
      </c>
      <c r="Y25" s="19">
        <f t="shared" si="18"/>
        <v>100.73179039795252</v>
      </c>
      <c r="Z25" s="19">
        <f t="shared" si="19"/>
        <v>-100.75307277890491</v>
      </c>
    </row>
    <row r="26" spans="1:26" s="2" customFormat="1" ht="11.25">
      <c r="A26" s="2" t="s">
        <v>29</v>
      </c>
      <c r="B26" s="2" t="s">
        <v>6</v>
      </c>
      <c r="D26" s="6">
        <v>0</v>
      </c>
      <c r="E26" s="7">
        <f t="shared" si="20"/>
        <v>0</v>
      </c>
      <c r="F26" s="8">
        <f t="shared" si="21"/>
        <v>0</v>
      </c>
      <c r="H26" s="2">
        <v>8</v>
      </c>
      <c r="I26" s="20">
        <f t="shared" si="3"/>
        <v>-0.04444458333333334</v>
      </c>
      <c r="J26" s="15" t="e">
        <f t="shared" si="4"/>
        <v>#NUM!</v>
      </c>
      <c r="K26" s="18" t="e">
        <f t="shared" si="2"/>
        <v>#NUM!</v>
      </c>
      <c r="L26" s="16">
        <f t="shared" si="5"/>
        <v>-0.25168078650000003</v>
      </c>
      <c r="M26" s="18">
        <f t="shared" si="6"/>
        <v>1.59665981248445</v>
      </c>
      <c r="N26" s="19" t="e">
        <f t="shared" si="7"/>
        <v>#NUM!</v>
      </c>
      <c r="O26" s="19">
        <f t="shared" si="8"/>
        <v>15.887301332190223</v>
      </c>
      <c r="P26" s="19">
        <f t="shared" si="9"/>
        <v>-15.931745915523557</v>
      </c>
      <c r="Q26" s="19">
        <f t="shared" si="10"/>
        <v>21.60928712386437</v>
      </c>
      <c r="R26" s="19">
        <f t="shared" si="11"/>
        <v>-21.653731707197704</v>
      </c>
      <c r="S26" s="19">
        <f t="shared" si="12"/>
        <v>33.08522510828346</v>
      </c>
      <c r="T26" s="19">
        <f t="shared" si="13"/>
        <v>-33.12966969161679</v>
      </c>
      <c r="U26" s="19">
        <f t="shared" si="14"/>
        <v>46.12751674517202</v>
      </c>
      <c r="V26" s="19">
        <f t="shared" si="15"/>
        <v>-46.17196132850535</v>
      </c>
      <c r="W26" s="19">
        <f t="shared" si="16"/>
        <v>79.9160026770132</v>
      </c>
      <c r="X26" s="19">
        <f t="shared" si="17"/>
        <v>-79.96044726034653</v>
      </c>
      <c r="Y26" s="19">
        <f t="shared" si="18"/>
        <v>140.65216471154324</v>
      </c>
      <c r="Z26" s="19">
        <f t="shared" si="19"/>
        <v>-140.69660929487657</v>
      </c>
    </row>
    <row r="27" spans="1:26" s="2" customFormat="1" ht="11.25">
      <c r="A27" s="2" t="s">
        <v>31</v>
      </c>
      <c r="B27" s="2" t="s">
        <v>1</v>
      </c>
      <c r="D27" s="6">
        <v>0</v>
      </c>
      <c r="E27" s="7">
        <f aca="true" t="shared" si="22" ref="E27:E36">D27*C84*0.01</f>
        <v>0</v>
      </c>
      <c r="F27" s="8">
        <f aca="true" t="shared" si="23" ref="F27:F36">D27*H84/12</f>
        <v>0</v>
      </c>
      <c r="H27" s="2">
        <v>9</v>
      </c>
      <c r="I27" s="20">
        <f t="shared" si="3"/>
        <v>-0.06245962962962964</v>
      </c>
      <c r="J27" s="15" t="e">
        <f t="shared" si="4"/>
        <v>#NUM!</v>
      </c>
      <c r="K27" s="18" t="e">
        <f t="shared" si="2"/>
        <v>#NUM!</v>
      </c>
      <c r="L27" s="16">
        <f t="shared" si="5"/>
        <v>-0.3536963906666667</v>
      </c>
      <c r="M27" s="18">
        <f t="shared" si="6"/>
        <v>1.7960661062099137</v>
      </c>
      <c r="N27" s="19" t="e">
        <f t="shared" si="7"/>
        <v>#NUM!</v>
      </c>
      <c r="O27" s="19">
        <f t="shared" si="8"/>
        <v>21.327082008900206</v>
      </c>
      <c r="P27" s="19">
        <f t="shared" si="9"/>
        <v>-21.389541638529835</v>
      </c>
      <c r="Q27" s="19">
        <f t="shared" si="10"/>
        <v>29.008264462809937</v>
      </c>
      <c r="R27" s="19">
        <f t="shared" si="11"/>
        <v>-29.070724092439566</v>
      </c>
      <c r="S27" s="19">
        <f t="shared" si="12"/>
        <v>44.413541004450124</v>
      </c>
      <c r="T27" s="19">
        <f t="shared" si="13"/>
        <v>-44.47600063407975</v>
      </c>
      <c r="U27" s="19">
        <f t="shared" si="14"/>
        <v>61.921487603305835</v>
      </c>
      <c r="V27" s="19">
        <f t="shared" si="15"/>
        <v>-61.98394723293546</v>
      </c>
      <c r="W27" s="19">
        <f t="shared" si="16"/>
        <v>107.2790845518119</v>
      </c>
      <c r="X27" s="19">
        <f t="shared" si="17"/>
        <v>-107.34154418144153</v>
      </c>
      <c r="Y27" s="19">
        <f t="shared" si="18"/>
        <v>188.81118881118894</v>
      </c>
      <c r="Z27" s="19">
        <f t="shared" si="19"/>
        <v>-188.87364844081858</v>
      </c>
    </row>
    <row r="28" spans="1:26" s="2" customFormat="1" ht="11.25">
      <c r="A28" s="2" t="s">
        <v>31</v>
      </c>
      <c r="B28" s="2" t="s">
        <v>2</v>
      </c>
      <c r="D28" s="6">
        <v>0</v>
      </c>
      <c r="E28" s="7">
        <f t="shared" si="22"/>
        <v>0</v>
      </c>
      <c r="F28" s="8">
        <f t="shared" si="23"/>
        <v>0</v>
      </c>
      <c r="H28" s="2">
        <v>10</v>
      </c>
      <c r="I28" s="20">
        <f t="shared" si="3"/>
        <v>-0.07687166666666667</v>
      </c>
      <c r="J28" s="15" t="e">
        <f t="shared" si="4"/>
        <v>#NUM!</v>
      </c>
      <c r="K28" s="18" t="e">
        <f t="shared" si="2"/>
        <v>#NUM!</v>
      </c>
      <c r="L28" s="16">
        <f t="shared" si="5"/>
        <v>-0.435308874</v>
      </c>
      <c r="M28" s="18">
        <f t="shared" si="6"/>
        <v>1.9958661635810113</v>
      </c>
      <c r="N28" s="19" t="e">
        <f t="shared" si="7"/>
        <v>#NUM!</v>
      </c>
      <c r="O28" s="19">
        <f t="shared" si="8"/>
        <v>27.753973248281522</v>
      </c>
      <c r="P28" s="19">
        <f t="shared" si="9"/>
        <v>-27.830844914948187</v>
      </c>
      <c r="Q28" s="19">
        <f t="shared" si="10"/>
        <v>37.74987105802477</v>
      </c>
      <c r="R28" s="19">
        <f t="shared" si="11"/>
        <v>-37.82674272469144</v>
      </c>
      <c r="S28" s="19">
        <f t="shared" si="12"/>
        <v>57.797509682034956</v>
      </c>
      <c r="T28" s="19">
        <f t="shared" si="13"/>
        <v>-57.874381348701625</v>
      </c>
      <c r="U28" s="19">
        <f t="shared" si="14"/>
        <v>80.58145552770672</v>
      </c>
      <c r="V28" s="19">
        <f t="shared" si="15"/>
        <v>-80.65832719437338</v>
      </c>
      <c r="W28" s="19">
        <f t="shared" si="16"/>
        <v>139.6075113092632</v>
      </c>
      <c r="X28" s="19">
        <f t="shared" si="17"/>
        <v>-139.68438297592988</v>
      </c>
      <c r="Y28" s="19">
        <f t="shared" si="18"/>
        <v>245.70921990430324</v>
      </c>
      <c r="Z28" s="19">
        <f t="shared" si="19"/>
        <v>-245.78609157096992</v>
      </c>
    </row>
    <row r="29" spans="1:15" s="2" customFormat="1" ht="11.25">
      <c r="A29" s="2" t="s">
        <v>31</v>
      </c>
      <c r="B29" s="2" t="s">
        <v>3</v>
      </c>
      <c r="D29" s="6">
        <v>0</v>
      </c>
      <c r="E29" s="7">
        <f t="shared" si="22"/>
        <v>0</v>
      </c>
      <c r="F29" s="8">
        <f t="shared" si="23"/>
        <v>0</v>
      </c>
      <c r="I29" s="8"/>
      <c r="J29" s="15"/>
      <c r="K29" s="16"/>
      <c r="L29" s="16"/>
      <c r="M29" s="16"/>
      <c r="N29" s="7"/>
      <c r="O29" s="7"/>
    </row>
    <row r="30" spans="1:8" s="2" customFormat="1" ht="11.25">
      <c r="A30" s="2" t="s">
        <v>31</v>
      </c>
      <c r="B30" s="2" t="s">
        <v>4</v>
      </c>
      <c r="D30" s="6">
        <v>0</v>
      </c>
      <c r="E30" s="7">
        <f t="shared" si="22"/>
        <v>0</v>
      </c>
      <c r="F30" s="8">
        <f t="shared" si="23"/>
        <v>0</v>
      </c>
      <c r="H30" s="2" t="s">
        <v>50</v>
      </c>
    </row>
    <row r="31" spans="1:8" s="2" customFormat="1" ht="11.25">
      <c r="A31" s="2" t="s">
        <v>31</v>
      </c>
      <c r="B31" s="2" t="s">
        <v>5</v>
      </c>
      <c r="D31" s="6">
        <v>0</v>
      </c>
      <c r="E31" s="7">
        <f t="shared" si="22"/>
        <v>0</v>
      </c>
      <c r="F31" s="8">
        <f t="shared" si="23"/>
        <v>0</v>
      </c>
      <c r="H31" s="2" t="s">
        <v>62</v>
      </c>
    </row>
    <row r="32" spans="1:8" s="2" customFormat="1" ht="11.25">
      <c r="A32" s="2" t="s">
        <v>31</v>
      </c>
      <c r="B32" s="2" t="s">
        <v>24</v>
      </c>
      <c r="D32" s="6">
        <v>0</v>
      </c>
      <c r="E32" s="7">
        <f t="shared" si="22"/>
        <v>0</v>
      </c>
      <c r="F32" s="8">
        <f t="shared" si="23"/>
        <v>0</v>
      </c>
      <c r="H32" s="2" t="s">
        <v>63</v>
      </c>
    </row>
    <row r="33" spans="1:8" s="2" customFormat="1" ht="11.25">
      <c r="A33" s="2" t="s">
        <v>31</v>
      </c>
      <c r="B33" s="2" t="s">
        <v>25</v>
      </c>
      <c r="D33" s="6">
        <v>0</v>
      </c>
      <c r="E33" s="7">
        <f t="shared" si="22"/>
        <v>0</v>
      </c>
      <c r="F33" s="8">
        <f t="shared" si="23"/>
        <v>0</v>
      </c>
      <c r="H33" s="2" t="s">
        <v>66</v>
      </c>
    </row>
    <row r="34" spans="1:20" s="2" customFormat="1" ht="11.25">
      <c r="A34" s="2" t="s">
        <v>31</v>
      </c>
      <c r="B34" s="2" t="s">
        <v>26</v>
      </c>
      <c r="D34" s="6">
        <v>0</v>
      </c>
      <c r="E34" s="7">
        <f t="shared" si="22"/>
        <v>0</v>
      </c>
      <c r="F34" s="8">
        <f t="shared" si="23"/>
        <v>0</v>
      </c>
      <c r="H34" s="21" t="s">
        <v>51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2" customFormat="1" ht="11.25">
      <c r="A35" s="2" t="s">
        <v>31</v>
      </c>
      <c r="B35" s="2" t="s">
        <v>16</v>
      </c>
      <c r="D35" s="6">
        <v>0</v>
      </c>
      <c r="E35" s="7">
        <f t="shared" si="22"/>
        <v>0</v>
      </c>
      <c r="F35" s="8">
        <f t="shared" si="23"/>
        <v>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6" s="2" customFormat="1" ht="11.25">
      <c r="A36" s="2" t="s">
        <v>31</v>
      </c>
      <c r="B36" s="2" t="s">
        <v>6</v>
      </c>
      <c r="D36" s="6">
        <v>0</v>
      </c>
      <c r="E36" s="7">
        <f t="shared" si="22"/>
        <v>0</v>
      </c>
      <c r="F36" s="8">
        <f t="shared" si="23"/>
        <v>0</v>
      </c>
    </row>
    <row r="37" spans="5:8" s="2" customFormat="1" ht="11.25">
      <c r="E37" s="7"/>
      <c r="F37" s="8"/>
      <c r="H37" s="2" t="s">
        <v>52</v>
      </c>
    </row>
    <row r="38" spans="3:6" s="2" customFormat="1" ht="11.25">
      <c r="C38" s="1" t="s">
        <v>23</v>
      </c>
      <c r="D38" s="2">
        <f>SUM(D7:D36)</f>
        <v>7.39</v>
      </c>
      <c r="E38" s="7">
        <f>SUM(E7:E36)</f>
        <v>0.20658</v>
      </c>
      <c r="F38" s="8">
        <f>SUM(F7:F36)</f>
        <v>0.6485416666666667</v>
      </c>
    </row>
    <row r="39" spans="6:20" s="2" customFormat="1" ht="11.25">
      <c r="F39" s="16"/>
      <c r="H39" s="21" t="s">
        <v>53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6:20" s="2" customFormat="1" ht="11.25">
      <c r="F40" s="16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6:20" s="2" customFormat="1" ht="11.25">
      <c r="F41" s="1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6:20" s="2" customFormat="1" ht="11.25">
      <c r="F42" s="16"/>
      <c r="H42" s="21" t="s">
        <v>54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6:20" s="2" customFormat="1" ht="11.25">
      <c r="F43" s="16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="2" customFormat="1" ht="11.25">
      <c r="F44" s="16"/>
    </row>
    <row r="45" spans="1:6" s="2" customFormat="1" ht="11.25">
      <c r="A45" s="1" t="s">
        <v>18</v>
      </c>
      <c r="B45" s="1"/>
      <c r="C45" s="1"/>
      <c r="F45" s="16"/>
    </row>
    <row r="46" spans="2:6" s="2" customFormat="1" ht="11.25">
      <c r="B46" s="1" t="s">
        <v>27</v>
      </c>
      <c r="C46" s="1"/>
      <c r="D46" s="1" t="s">
        <v>55</v>
      </c>
      <c r="F46" s="16"/>
    </row>
    <row r="47" spans="1:7" s="2" customFormat="1" ht="43.5" customHeight="1">
      <c r="A47" s="1" t="s">
        <v>30</v>
      </c>
      <c r="B47" s="1" t="s">
        <v>19</v>
      </c>
      <c r="C47" s="1"/>
      <c r="D47" s="3" t="s">
        <v>20</v>
      </c>
      <c r="E47" s="3" t="s">
        <v>21</v>
      </c>
      <c r="F47" s="4" t="s">
        <v>22</v>
      </c>
      <c r="G47" s="5"/>
    </row>
    <row r="48" spans="1:12" s="2" customFormat="1" ht="11.25">
      <c r="A48" s="2" t="s">
        <v>28</v>
      </c>
      <c r="B48" s="2" t="s">
        <v>1</v>
      </c>
      <c r="D48" s="6">
        <v>1</v>
      </c>
      <c r="E48" s="7">
        <f aca="true" t="shared" si="24" ref="E48:E57">D48*D84*0.01</f>
        <v>0.011000000000000001</v>
      </c>
      <c r="F48" s="8">
        <f>D48*F84/12/3</f>
        <v>0.030555555555555558</v>
      </c>
      <c r="H48" s="9" t="s">
        <v>32</v>
      </c>
      <c r="I48" s="1"/>
      <c r="J48" s="1"/>
      <c r="K48" s="10">
        <f>E79</f>
        <v>0.011000000000000001</v>
      </c>
      <c r="L48" s="11" t="s">
        <v>37</v>
      </c>
    </row>
    <row r="49" spans="1:12" s="2" customFormat="1" ht="11.25">
      <c r="A49" s="2" t="s">
        <v>28</v>
      </c>
      <c r="B49" s="2" t="s">
        <v>2</v>
      </c>
      <c r="D49" s="6">
        <v>0</v>
      </c>
      <c r="E49" s="7">
        <f t="shared" si="24"/>
        <v>0</v>
      </c>
      <c r="F49" s="8">
        <f aca="true" t="shared" si="25" ref="F49:F57">D49*F85/12</f>
        <v>0</v>
      </c>
      <c r="H49" s="9" t="s">
        <v>33</v>
      </c>
      <c r="I49" s="9"/>
      <c r="J49" s="13"/>
      <c r="K49" s="14">
        <f>F79</f>
        <v>0.030555555555555558</v>
      </c>
      <c r="L49" s="12">
        <f>POWER(K48*43560/3.1414,0.5)</f>
        <v>12.350332739962985</v>
      </c>
    </row>
    <row r="50" spans="1:14" s="2" customFormat="1" ht="11.25">
      <c r="A50" s="2" t="s">
        <v>28</v>
      </c>
      <c r="B50" s="2" t="s">
        <v>3</v>
      </c>
      <c r="D50" s="6">
        <v>0</v>
      </c>
      <c r="E50" s="7">
        <f t="shared" si="24"/>
        <v>0</v>
      </c>
      <c r="F50" s="8">
        <f t="shared" si="25"/>
        <v>0</v>
      </c>
      <c r="J50" s="15"/>
      <c r="K50" s="16"/>
      <c r="L50" s="16"/>
      <c r="M50" s="16"/>
      <c r="N50" s="7"/>
    </row>
    <row r="51" spans="1:20" s="2" customFormat="1" ht="11.25">
      <c r="A51" s="2" t="s">
        <v>28</v>
      </c>
      <c r="B51" s="2" t="s">
        <v>4</v>
      </c>
      <c r="D51" s="6">
        <v>0</v>
      </c>
      <c r="E51" s="7">
        <f t="shared" si="24"/>
        <v>0</v>
      </c>
      <c r="F51" s="8">
        <f t="shared" si="25"/>
        <v>0</v>
      </c>
      <c r="H51" s="24" t="s">
        <v>35</v>
      </c>
      <c r="I51" s="25" t="s">
        <v>36</v>
      </c>
      <c r="J51" s="27" t="s">
        <v>38</v>
      </c>
      <c r="K51" s="26" t="s">
        <v>49</v>
      </c>
      <c r="L51" s="26" t="s">
        <v>57</v>
      </c>
      <c r="M51" s="26" t="s">
        <v>40</v>
      </c>
      <c r="N51" s="28" t="s">
        <v>41</v>
      </c>
      <c r="O51" s="22" t="s">
        <v>42</v>
      </c>
      <c r="P51" s="22"/>
      <c r="Q51" s="22"/>
      <c r="R51" s="22"/>
      <c r="S51" s="22"/>
      <c r="T51" s="22"/>
    </row>
    <row r="52" spans="1:26" s="2" customFormat="1" ht="11.25">
      <c r="A52" s="2" t="s">
        <v>28</v>
      </c>
      <c r="B52" s="2" t="s">
        <v>5</v>
      </c>
      <c r="D52" s="6">
        <v>0</v>
      </c>
      <c r="E52" s="7">
        <f t="shared" si="24"/>
        <v>0</v>
      </c>
      <c r="F52" s="8">
        <f t="shared" si="25"/>
        <v>0</v>
      </c>
      <c r="H52" s="24"/>
      <c r="I52" s="25"/>
      <c r="J52" s="27"/>
      <c r="K52" s="26"/>
      <c r="L52" s="26"/>
      <c r="M52" s="26"/>
      <c r="N52" s="28"/>
      <c r="O52" s="17">
        <v>22.5</v>
      </c>
      <c r="P52" s="2" t="s">
        <v>43</v>
      </c>
      <c r="Q52" s="1">
        <v>30</v>
      </c>
      <c r="R52" s="2" t="s">
        <v>44</v>
      </c>
      <c r="S52" s="1">
        <v>45</v>
      </c>
      <c r="T52" s="2" t="s">
        <v>45</v>
      </c>
      <c r="U52" s="1">
        <v>65</v>
      </c>
      <c r="V52" s="2" t="s">
        <v>46</v>
      </c>
      <c r="W52" s="1">
        <v>90</v>
      </c>
      <c r="X52" s="2" t="s">
        <v>47</v>
      </c>
      <c r="Y52" s="1">
        <v>120</v>
      </c>
      <c r="Z52" s="2" t="s">
        <v>48</v>
      </c>
    </row>
    <row r="53" spans="1:26" s="2" customFormat="1" ht="11.25">
      <c r="A53" s="2" t="s">
        <v>28</v>
      </c>
      <c r="B53" s="2" t="s">
        <v>24</v>
      </c>
      <c r="D53" s="6">
        <v>0</v>
      </c>
      <c r="E53" s="7">
        <f t="shared" si="24"/>
        <v>0</v>
      </c>
      <c r="F53" s="8">
        <f t="shared" si="25"/>
        <v>0</v>
      </c>
      <c r="H53" s="2">
        <v>0.25</v>
      </c>
      <c r="I53" s="20">
        <f>2*($K$49/H53)-$K$7</f>
        <v>0.03786444444444445</v>
      </c>
      <c r="J53" s="15">
        <f>POWER(I53*43560/3.1414,0.5)</f>
        <v>22.91385235578905</v>
      </c>
      <c r="K53" s="18">
        <f aca="true" t="shared" si="26" ref="K53:K69">100*H53/(J53-$L$49)</f>
        <v>2.366635450039348</v>
      </c>
      <c r="L53" s="16">
        <f>I53*43560*0.002</f>
        <v>3.2987504000000003</v>
      </c>
      <c r="M53" s="18">
        <f>0.2*H53+(L53/(3.33*POWER(H53,1.5)))</f>
        <v>7.9749258858858845</v>
      </c>
      <c r="N53" s="19">
        <f>SQRT(L53/(30.85*POWER(H53,0.5)))</f>
        <v>0.46244718652420097</v>
      </c>
      <c r="O53" s="19">
        <f>0.497*POWER(H53,2.5)/(0.002*43560)</f>
        <v>0.00017827421946740128</v>
      </c>
      <c r="P53" s="19">
        <f>I53-O53</f>
        <v>0.03768617022497705</v>
      </c>
      <c r="Q53" s="19">
        <f>0.676*POWER(H53,2.5)/(0.002*43560)</f>
        <v>0.0002424816345270891</v>
      </c>
      <c r="R53" s="19">
        <f>I53-Q53</f>
        <v>0.037621962809917364</v>
      </c>
      <c r="S53" s="19">
        <f>1.035*POWER(H53,2.5)/(0.002*43560)</f>
        <v>0.00037125516528925615</v>
      </c>
      <c r="T53" s="19">
        <f>I53-S53</f>
        <v>0.037493189279155195</v>
      </c>
      <c r="U53" s="19">
        <f>1.443*POWER(H53,2.5)/(0.0023*43560)</f>
        <v>0.0004500913283027908</v>
      </c>
      <c r="V53" s="19">
        <f>I53-U53</f>
        <v>0.03741435311614166</v>
      </c>
      <c r="W53" s="19">
        <f>2.5*POWER(H53,2.5)/(0.002*43560)</f>
        <v>0.0008967516069788797</v>
      </c>
      <c r="X53" s="19">
        <f>I53-W53</f>
        <v>0.03696769283746557</v>
      </c>
      <c r="Y53" s="19">
        <f>4.4*POWER(H53,2.5)/(0.002*43560)</f>
        <v>0.0015782828282828283</v>
      </c>
      <c r="Z53" s="19">
        <f>I53-Y53</f>
        <v>0.03628616161616162</v>
      </c>
    </row>
    <row r="54" spans="1:26" s="2" customFormat="1" ht="11.25">
      <c r="A54" s="2" t="s">
        <v>28</v>
      </c>
      <c r="B54" s="2" t="s">
        <v>25</v>
      </c>
      <c r="D54" s="6">
        <v>0</v>
      </c>
      <c r="E54" s="7">
        <f t="shared" si="24"/>
        <v>0</v>
      </c>
      <c r="F54" s="8">
        <f t="shared" si="25"/>
        <v>0</v>
      </c>
      <c r="H54" s="2">
        <v>0.5</v>
      </c>
      <c r="I54" s="20">
        <f aca="true" t="shared" si="27" ref="I54:I69">2*($K$49/H54)-$K$7</f>
        <v>-0.08435777777777778</v>
      </c>
      <c r="J54" s="15" t="e">
        <f aca="true" t="shared" si="28" ref="J54:J69">POWER(I54*43560/3.1414,0.5)</f>
        <v>#NUM!</v>
      </c>
      <c r="K54" s="18" t="e">
        <f t="shared" si="26"/>
        <v>#NUM!</v>
      </c>
      <c r="L54" s="16">
        <f aca="true" t="shared" si="29" ref="L54:L69">I54*43560*0.002</f>
        <v>-7.3492496</v>
      </c>
      <c r="M54" s="18">
        <f aca="true" t="shared" si="30" ref="M54:M69">0.2*H54+(L54/(3.33*POWER(H54,1.5)))</f>
        <v>-6.142287361912939</v>
      </c>
      <c r="N54" s="19" t="e">
        <f aca="true" t="shared" si="31" ref="N54:N69">SQRT(L54/(30.85*POWER(H54,0.5)))</f>
        <v>#NUM!</v>
      </c>
      <c r="O54" s="19">
        <f aca="true" t="shared" si="32" ref="O54:O69">0.497*POWER(H54,2.5)/(0.002*43560)</f>
        <v>0.0010084712759691062</v>
      </c>
      <c r="P54" s="19">
        <f aca="true" t="shared" si="33" ref="P54:P69">I54-O54</f>
        <v>-0.08536624905374689</v>
      </c>
      <c r="Q54" s="19">
        <f aca="true" t="shared" si="34" ref="Q54:Q69">0.676*POWER(H54,2.5)/(0.002*43560)</f>
        <v>0.0013716832646984223</v>
      </c>
      <c r="R54" s="19">
        <f aca="true" t="shared" si="35" ref="R54:R69">I54-Q54</f>
        <v>-0.08572946104247621</v>
      </c>
      <c r="S54" s="19">
        <f aca="true" t="shared" si="36" ref="S54:S69">1.035*POWER(H54,2.5)/(0.002*43560)</f>
        <v>0.0021001363594125248</v>
      </c>
      <c r="T54" s="19">
        <f aca="true" t="shared" si="37" ref="T54:T69">I54-S54</f>
        <v>-0.08645791413719031</v>
      </c>
      <c r="U54" s="19">
        <f aca="true" t="shared" si="38" ref="U54:U69">1.443*POWER(H54,2.5)/(0.0023*43560)</f>
        <v>0.0025461010431693117</v>
      </c>
      <c r="V54" s="19">
        <f aca="true" t="shared" si="39" ref="V54:V69">I54-U54</f>
        <v>-0.08690387882094709</v>
      </c>
      <c r="W54" s="19">
        <f aca="true" t="shared" si="40" ref="W54:W69">2.5*POWER(H54,2.5)/(0.002*43560)</f>
        <v>0.005072793138677596</v>
      </c>
      <c r="X54" s="19">
        <f aca="true" t="shared" si="41" ref="X54:X69">I54-W54</f>
        <v>-0.08943057091645537</v>
      </c>
      <c r="Y54" s="19">
        <f aca="true" t="shared" si="42" ref="Y54:Y69">4.4*POWER(H54,2.5)/(0.002*43560)</f>
        <v>0.00892811592407257</v>
      </c>
      <c r="Z54" s="19">
        <f aca="true" t="shared" si="43" ref="Z54:Z69">I54-Y54</f>
        <v>-0.09328589370185035</v>
      </c>
    </row>
    <row r="55" spans="1:26" s="2" customFormat="1" ht="11.25">
      <c r="A55" s="2" t="s">
        <v>28</v>
      </c>
      <c r="B55" s="2" t="s">
        <v>26</v>
      </c>
      <c r="D55" s="6">
        <v>0</v>
      </c>
      <c r="E55" s="7">
        <f t="shared" si="24"/>
        <v>0</v>
      </c>
      <c r="F55" s="8">
        <f t="shared" si="25"/>
        <v>0</v>
      </c>
      <c r="H55" s="2">
        <v>0.75</v>
      </c>
      <c r="I55" s="20">
        <f t="shared" si="27"/>
        <v>-0.12509851851851853</v>
      </c>
      <c r="J55" s="15" t="e">
        <f t="shared" si="28"/>
        <v>#NUM!</v>
      </c>
      <c r="K55" s="18" t="e">
        <f t="shared" si="26"/>
        <v>#NUM!</v>
      </c>
      <c r="L55" s="16">
        <f t="shared" si="29"/>
        <v>-10.898582933333334</v>
      </c>
      <c r="M55" s="18">
        <f t="shared" si="30"/>
        <v>-4.888878710987355</v>
      </c>
      <c r="N55" s="19" t="e">
        <f t="shared" si="31"/>
        <v>#NUM!</v>
      </c>
      <c r="O55" s="19">
        <f t="shared" si="32"/>
        <v>0.002779020052175013</v>
      </c>
      <c r="P55" s="19">
        <f t="shared" si="33"/>
        <v>-0.12787753857069353</v>
      </c>
      <c r="Q55" s="19">
        <f t="shared" si="34"/>
        <v>0.0037799145981293946</v>
      </c>
      <c r="R55" s="19">
        <f t="shared" si="35"/>
        <v>-0.12887843311664793</v>
      </c>
      <c r="S55" s="19">
        <f t="shared" si="36"/>
        <v>0.005787295279680359</v>
      </c>
      <c r="T55" s="19">
        <f t="shared" si="37"/>
        <v>-0.13088581379819889</v>
      </c>
      <c r="U55" s="19">
        <f t="shared" si="38"/>
        <v>0.007016229437999378</v>
      </c>
      <c r="V55" s="19">
        <f t="shared" si="39"/>
        <v>-0.1321147479565179</v>
      </c>
      <c r="W55" s="19">
        <f t="shared" si="40"/>
        <v>0.013978974105508116</v>
      </c>
      <c r="X55" s="19">
        <f t="shared" si="41"/>
        <v>-0.13907749262402663</v>
      </c>
      <c r="Y55" s="19">
        <f t="shared" si="42"/>
        <v>0.02460299442569428</v>
      </c>
      <c r="Z55" s="19">
        <f t="shared" si="43"/>
        <v>-0.1497015129442128</v>
      </c>
    </row>
    <row r="56" spans="1:26" s="2" customFormat="1" ht="11.25">
      <c r="A56" s="2" t="s">
        <v>28</v>
      </c>
      <c r="B56" s="2" t="s">
        <v>16</v>
      </c>
      <c r="D56" s="6">
        <v>0</v>
      </c>
      <c r="E56" s="7">
        <f t="shared" si="24"/>
        <v>0</v>
      </c>
      <c r="F56" s="8">
        <f t="shared" si="25"/>
        <v>0</v>
      </c>
      <c r="H56" s="2">
        <v>1</v>
      </c>
      <c r="I56" s="20">
        <f t="shared" si="27"/>
        <v>-0.1454688888888889</v>
      </c>
      <c r="J56" s="15" t="e">
        <f t="shared" si="28"/>
        <v>#NUM!</v>
      </c>
      <c r="K56" s="18" t="e">
        <f t="shared" si="26"/>
        <v>#NUM!</v>
      </c>
      <c r="L56" s="16">
        <f t="shared" si="29"/>
        <v>-12.673249600000002</v>
      </c>
      <c r="M56" s="18">
        <f t="shared" si="30"/>
        <v>-3.605780660660661</v>
      </c>
      <c r="N56" s="19" t="e">
        <f t="shared" si="31"/>
        <v>#NUM!</v>
      </c>
      <c r="O56" s="19">
        <f t="shared" si="32"/>
        <v>0.005704775022956841</v>
      </c>
      <c r="P56" s="19">
        <f t="shared" si="33"/>
        <v>-0.15117366391184575</v>
      </c>
      <c r="Q56" s="19">
        <f t="shared" si="34"/>
        <v>0.007759412304866851</v>
      </c>
      <c r="R56" s="19">
        <f t="shared" si="35"/>
        <v>-0.15322830119375574</v>
      </c>
      <c r="S56" s="19">
        <f t="shared" si="36"/>
        <v>0.011880165289256197</v>
      </c>
      <c r="T56" s="19">
        <f t="shared" si="37"/>
        <v>-0.1573490541781451</v>
      </c>
      <c r="U56" s="19">
        <f t="shared" si="38"/>
        <v>0.014402922505689305</v>
      </c>
      <c r="V56" s="19">
        <f t="shared" si="39"/>
        <v>-0.1598718113945782</v>
      </c>
      <c r="W56" s="19">
        <f t="shared" si="40"/>
        <v>0.02869605142332415</v>
      </c>
      <c r="X56" s="19">
        <f t="shared" si="41"/>
        <v>-0.17416494031221305</v>
      </c>
      <c r="Y56" s="19">
        <f t="shared" si="42"/>
        <v>0.050505050505050504</v>
      </c>
      <c r="Z56" s="19">
        <f t="shared" si="43"/>
        <v>-0.1959739393939394</v>
      </c>
    </row>
    <row r="57" spans="1:26" s="2" customFormat="1" ht="11.25">
      <c r="A57" s="2" t="s">
        <v>28</v>
      </c>
      <c r="B57" s="2" t="s">
        <v>6</v>
      </c>
      <c r="D57" s="6">
        <v>0</v>
      </c>
      <c r="E57" s="7">
        <f t="shared" si="24"/>
        <v>0</v>
      </c>
      <c r="F57" s="8">
        <f t="shared" si="25"/>
        <v>0</v>
      </c>
      <c r="H57" s="2">
        <v>1.5</v>
      </c>
      <c r="I57" s="20">
        <f t="shared" si="27"/>
        <v>-0.16583925925925927</v>
      </c>
      <c r="J57" s="15" t="e">
        <f t="shared" si="28"/>
        <v>#NUM!</v>
      </c>
      <c r="K57" s="18" t="e">
        <f t="shared" si="26"/>
        <v>#NUM!</v>
      </c>
      <c r="L57" s="16">
        <f t="shared" si="29"/>
        <v>-14.447916266666667</v>
      </c>
      <c r="M57" s="18">
        <f t="shared" si="30"/>
        <v>-2.061696543195877</v>
      </c>
      <c r="N57" s="19" t="e">
        <f t="shared" si="31"/>
        <v>#NUM!</v>
      </c>
      <c r="O57" s="19">
        <f t="shared" si="32"/>
        <v>0.015720511391570758</v>
      </c>
      <c r="P57" s="19">
        <f t="shared" si="33"/>
        <v>-0.18155977065083004</v>
      </c>
      <c r="Q57" s="19">
        <f t="shared" si="34"/>
        <v>0.021382425957146546</v>
      </c>
      <c r="R57" s="19">
        <f t="shared" si="35"/>
        <v>-0.1872216852164058</v>
      </c>
      <c r="S57" s="19">
        <f t="shared" si="36"/>
        <v>0.032737885895927035</v>
      </c>
      <c r="T57" s="19">
        <f t="shared" si="37"/>
        <v>-0.19857714515518632</v>
      </c>
      <c r="U57" s="19">
        <f t="shared" si="38"/>
        <v>0.03968978731176031</v>
      </c>
      <c r="V57" s="19">
        <f t="shared" si="39"/>
        <v>-0.20552904657101959</v>
      </c>
      <c r="W57" s="19">
        <f t="shared" si="40"/>
        <v>0.07907701907228752</v>
      </c>
      <c r="X57" s="19">
        <f t="shared" si="41"/>
        <v>-0.24491627833154678</v>
      </c>
      <c r="Y57" s="19">
        <f t="shared" si="42"/>
        <v>0.13917555356722605</v>
      </c>
      <c r="Z57" s="19">
        <f t="shared" si="43"/>
        <v>-0.30501481282648535</v>
      </c>
    </row>
    <row r="58" spans="1:26" s="2" customFormat="1" ht="11.25">
      <c r="A58" s="2" t="s">
        <v>29</v>
      </c>
      <c r="B58" s="2" t="s">
        <v>1</v>
      </c>
      <c r="D58" s="6">
        <v>0</v>
      </c>
      <c r="E58" s="7">
        <f aca="true" t="shared" si="44" ref="E58:E67">D58*D84*0.01</f>
        <v>0</v>
      </c>
      <c r="F58" s="8">
        <f aca="true" t="shared" si="45" ref="F58:F67">D58*G84/12/3</f>
        <v>0</v>
      </c>
      <c r="H58" s="2">
        <v>2</v>
      </c>
      <c r="I58" s="20">
        <f t="shared" si="27"/>
        <v>-0.17602444444444446</v>
      </c>
      <c r="J58" s="15" t="e">
        <f t="shared" si="28"/>
        <v>#NUM!</v>
      </c>
      <c r="K58" s="18" t="e">
        <f t="shared" si="26"/>
        <v>#NUM!</v>
      </c>
      <c r="L58" s="16">
        <f t="shared" si="29"/>
        <v>-15.335249600000001</v>
      </c>
      <c r="M58" s="18">
        <f t="shared" si="30"/>
        <v>-1.2281770245267705</v>
      </c>
      <c r="N58" s="19" t="e">
        <f t="shared" si="31"/>
        <v>#NUM!</v>
      </c>
      <c r="O58" s="19">
        <f t="shared" si="32"/>
        <v>0.0322710808310114</v>
      </c>
      <c r="P58" s="19">
        <f t="shared" si="33"/>
        <v>-0.20829552527545586</v>
      </c>
      <c r="Q58" s="19">
        <f t="shared" si="34"/>
        <v>0.043893864470349514</v>
      </c>
      <c r="R58" s="19">
        <f t="shared" si="35"/>
        <v>-0.21991830891479397</v>
      </c>
      <c r="S58" s="19">
        <f t="shared" si="36"/>
        <v>0.06720436350120079</v>
      </c>
      <c r="T58" s="19">
        <f t="shared" si="37"/>
        <v>-0.24322880794564525</v>
      </c>
      <c r="U58" s="19">
        <f t="shared" si="38"/>
        <v>0.08147523338141797</v>
      </c>
      <c r="V58" s="19">
        <f t="shared" si="39"/>
        <v>-0.2574996778258624</v>
      </c>
      <c r="W58" s="19">
        <f t="shared" si="40"/>
        <v>0.16232938043768308</v>
      </c>
      <c r="X58" s="19">
        <f t="shared" si="41"/>
        <v>-0.3383538248821275</v>
      </c>
      <c r="Y58" s="19">
        <f t="shared" si="42"/>
        <v>0.28569970957032226</v>
      </c>
      <c r="Z58" s="19">
        <f t="shared" si="43"/>
        <v>-0.46172415401476674</v>
      </c>
    </row>
    <row r="59" spans="1:26" s="2" customFormat="1" ht="11.25">
      <c r="A59" s="2" t="s">
        <v>29</v>
      </c>
      <c r="B59" s="2" t="s">
        <v>2</v>
      </c>
      <c r="D59" s="6">
        <v>0</v>
      </c>
      <c r="E59" s="7">
        <f t="shared" si="44"/>
        <v>0</v>
      </c>
      <c r="F59" s="8">
        <f t="shared" si="45"/>
        <v>0</v>
      </c>
      <c r="H59" s="2">
        <v>2.5</v>
      </c>
      <c r="I59" s="20">
        <f t="shared" si="27"/>
        <v>-0.18213555555555558</v>
      </c>
      <c r="J59" s="15" t="e">
        <f t="shared" si="28"/>
        <v>#NUM!</v>
      </c>
      <c r="K59" s="18" t="e">
        <f t="shared" si="26"/>
        <v>#NUM!</v>
      </c>
      <c r="L59" s="16">
        <f t="shared" si="29"/>
        <v>-15.867649600000004</v>
      </c>
      <c r="M59" s="18">
        <f t="shared" si="30"/>
        <v>-0.7054754077948282</v>
      </c>
      <c r="N59" s="19" t="e">
        <f t="shared" si="31"/>
        <v>#NUM!</v>
      </c>
      <c r="O59" s="19">
        <f t="shared" si="32"/>
        <v>0.05637525816057178</v>
      </c>
      <c r="P59" s="19">
        <f t="shared" si="33"/>
        <v>-0.23851081371612737</v>
      </c>
      <c r="Q59" s="19">
        <f t="shared" si="34"/>
        <v>0.07667942558661274</v>
      </c>
      <c r="R59" s="19">
        <f t="shared" si="35"/>
        <v>-0.25881498114216833</v>
      </c>
      <c r="S59" s="19">
        <f t="shared" si="36"/>
        <v>0.11740119154163339</v>
      </c>
      <c r="T59" s="19">
        <f t="shared" si="37"/>
        <v>-0.29953674709718897</v>
      </c>
      <c r="U59" s="19">
        <f t="shared" si="38"/>
        <v>0.14233137525274273</v>
      </c>
      <c r="V59" s="19">
        <f t="shared" si="39"/>
        <v>-0.3244669308082983</v>
      </c>
      <c r="W59" s="19">
        <f t="shared" si="40"/>
        <v>0.2835777573469406</v>
      </c>
      <c r="X59" s="19">
        <f t="shared" si="41"/>
        <v>-0.4657133129024962</v>
      </c>
      <c r="Y59" s="19">
        <f t="shared" si="42"/>
        <v>0.4990968529306155</v>
      </c>
      <c r="Z59" s="19">
        <f t="shared" si="43"/>
        <v>-0.6812324084861711</v>
      </c>
    </row>
    <row r="60" spans="1:26" s="2" customFormat="1" ht="11.25">
      <c r="A60" s="2" t="s">
        <v>29</v>
      </c>
      <c r="B60" s="2" t="s">
        <v>3</v>
      </c>
      <c r="D60" s="6">
        <v>0</v>
      </c>
      <c r="E60" s="7">
        <f t="shared" si="44"/>
        <v>0</v>
      </c>
      <c r="F60" s="8">
        <f t="shared" si="45"/>
        <v>0</v>
      </c>
      <c r="H60" s="2">
        <v>3</v>
      </c>
      <c r="I60" s="20">
        <f t="shared" si="27"/>
        <v>-0.18620962962962964</v>
      </c>
      <c r="J60" s="15" t="e">
        <f t="shared" si="28"/>
        <v>#NUM!</v>
      </c>
      <c r="K60" s="18" t="e">
        <f t="shared" si="26"/>
        <v>#NUM!</v>
      </c>
      <c r="L60" s="16">
        <f t="shared" si="29"/>
        <v>-16.222582933333335</v>
      </c>
      <c r="M60" s="18">
        <f t="shared" si="30"/>
        <v>-0.337548811162265</v>
      </c>
      <c r="N60" s="19" t="e">
        <f t="shared" si="31"/>
        <v>#NUM!</v>
      </c>
      <c r="O60" s="19">
        <f t="shared" si="32"/>
        <v>0.08892864166960045</v>
      </c>
      <c r="P60" s="19">
        <f t="shared" si="33"/>
        <v>-0.2751382712992301</v>
      </c>
      <c r="Q60" s="19">
        <f t="shared" si="34"/>
        <v>0.12095726714014066</v>
      </c>
      <c r="R60" s="19">
        <f t="shared" si="35"/>
        <v>-0.30716689676977027</v>
      </c>
      <c r="S60" s="19">
        <f t="shared" si="36"/>
        <v>0.18519344894977155</v>
      </c>
      <c r="T60" s="19">
        <f t="shared" si="37"/>
        <v>-0.3714030785794012</v>
      </c>
      <c r="U60" s="19">
        <f t="shared" si="38"/>
        <v>0.22451934201598014</v>
      </c>
      <c r="V60" s="19">
        <f t="shared" si="39"/>
        <v>-0.4107289716456098</v>
      </c>
      <c r="W60" s="19">
        <f t="shared" si="40"/>
        <v>0.44732717137625977</v>
      </c>
      <c r="X60" s="19">
        <f t="shared" si="41"/>
        <v>-0.6335368010058894</v>
      </c>
      <c r="Y60" s="19">
        <f t="shared" si="42"/>
        <v>0.7872958216222172</v>
      </c>
      <c r="Z60" s="19">
        <f t="shared" si="43"/>
        <v>-0.9735054512518468</v>
      </c>
    </row>
    <row r="61" spans="1:26" s="2" customFormat="1" ht="11.25">
      <c r="A61" s="2" t="s">
        <v>29</v>
      </c>
      <c r="B61" s="2" t="s">
        <v>4</v>
      </c>
      <c r="D61" s="6">
        <v>0</v>
      </c>
      <c r="E61" s="7">
        <f t="shared" si="44"/>
        <v>0</v>
      </c>
      <c r="F61" s="8">
        <f t="shared" si="45"/>
        <v>0</v>
      </c>
      <c r="H61" s="2">
        <v>3.5</v>
      </c>
      <c r="I61" s="20">
        <f t="shared" si="27"/>
        <v>-0.18911968253968256</v>
      </c>
      <c r="J61" s="15" t="e">
        <f t="shared" si="28"/>
        <v>#NUM!</v>
      </c>
      <c r="K61" s="18" t="e">
        <f t="shared" si="26"/>
        <v>#NUM!</v>
      </c>
      <c r="L61" s="16">
        <f t="shared" si="29"/>
        <v>-16.476106742857144</v>
      </c>
      <c r="M61" s="18">
        <f t="shared" si="30"/>
        <v>-0.05562844272461065</v>
      </c>
      <c r="N61" s="19" t="e">
        <f t="shared" si="31"/>
        <v>#NUM!</v>
      </c>
      <c r="O61" s="19">
        <f t="shared" si="32"/>
        <v>0.13074004582774593</v>
      </c>
      <c r="P61" s="19">
        <f t="shared" si="33"/>
        <v>-0.3198597283674285</v>
      </c>
      <c r="Q61" s="19">
        <f t="shared" si="34"/>
        <v>0.1778275070011192</v>
      </c>
      <c r="R61" s="19">
        <f t="shared" si="35"/>
        <v>-0.36694718954080174</v>
      </c>
      <c r="S61" s="19">
        <f t="shared" si="36"/>
        <v>0.2722654877901751</v>
      </c>
      <c r="T61" s="19">
        <f t="shared" si="37"/>
        <v>-0.4613851703298577</v>
      </c>
      <c r="U61" s="19">
        <f t="shared" si="38"/>
        <v>0.3300811584803383</v>
      </c>
      <c r="V61" s="19">
        <f t="shared" si="39"/>
        <v>-0.5192008410200208</v>
      </c>
      <c r="W61" s="19">
        <f t="shared" si="40"/>
        <v>0.6576461057733699</v>
      </c>
      <c r="X61" s="19">
        <f t="shared" si="41"/>
        <v>-0.8467657883130525</v>
      </c>
      <c r="Y61" s="19">
        <f t="shared" si="42"/>
        <v>1.157457146161131</v>
      </c>
      <c r="Z61" s="19">
        <f t="shared" si="43"/>
        <v>-1.3465768287008135</v>
      </c>
    </row>
    <row r="62" spans="1:26" s="2" customFormat="1" ht="11.25">
      <c r="A62" s="2" t="s">
        <v>29</v>
      </c>
      <c r="B62" s="2" t="s">
        <v>5</v>
      </c>
      <c r="D62" s="6">
        <v>0</v>
      </c>
      <c r="E62" s="7">
        <f t="shared" si="44"/>
        <v>0</v>
      </c>
      <c r="F62" s="8">
        <f t="shared" si="45"/>
        <v>0</v>
      </c>
      <c r="H62" s="2">
        <v>4</v>
      </c>
      <c r="I62" s="20">
        <f t="shared" si="27"/>
        <v>-0.19130222222222223</v>
      </c>
      <c r="J62" s="15" t="e">
        <f t="shared" si="28"/>
        <v>#NUM!</v>
      </c>
      <c r="K62" s="18" t="e">
        <f t="shared" si="26"/>
        <v>#NUM!</v>
      </c>
      <c r="L62" s="16">
        <f t="shared" si="29"/>
        <v>-16.666249600000004</v>
      </c>
      <c r="M62" s="18">
        <f t="shared" si="30"/>
        <v>0.17439003003002973</v>
      </c>
      <c r="N62" s="19" t="e">
        <f t="shared" si="31"/>
        <v>#NUM!</v>
      </c>
      <c r="O62" s="19">
        <f t="shared" si="32"/>
        <v>0.1825528007346189</v>
      </c>
      <c r="P62" s="19">
        <f t="shared" si="33"/>
        <v>-0.37385502295684114</v>
      </c>
      <c r="Q62" s="19">
        <f t="shared" si="34"/>
        <v>0.24830119375573922</v>
      </c>
      <c r="R62" s="19">
        <f t="shared" si="35"/>
        <v>-0.4396034159779615</v>
      </c>
      <c r="S62" s="19">
        <f t="shared" si="36"/>
        <v>0.3801652892561983</v>
      </c>
      <c r="T62" s="19">
        <f t="shared" si="37"/>
        <v>-0.5714675114784206</v>
      </c>
      <c r="U62" s="19">
        <f t="shared" si="38"/>
        <v>0.46089352018205776</v>
      </c>
      <c r="V62" s="19">
        <f t="shared" si="39"/>
        <v>-0.65219574240428</v>
      </c>
      <c r="W62" s="19">
        <f t="shared" si="40"/>
        <v>0.9182736455463728</v>
      </c>
      <c r="X62" s="19">
        <f t="shared" si="41"/>
        <v>-1.109575867768595</v>
      </c>
      <c r="Y62" s="19">
        <f t="shared" si="42"/>
        <v>1.6161616161616161</v>
      </c>
      <c r="Z62" s="19">
        <f t="shared" si="43"/>
        <v>-1.8074638383838384</v>
      </c>
    </row>
    <row r="63" spans="1:26" s="2" customFormat="1" ht="11.25">
      <c r="A63" s="2" t="s">
        <v>29</v>
      </c>
      <c r="B63" s="2" t="s">
        <v>24</v>
      </c>
      <c r="D63" s="6">
        <v>0</v>
      </c>
      <c r="E63" s="7">
        <f t="shared" si="44"/>
        <v>0</v>
      </c>
      <c r="F63" s="8">
        <f t="shared" si="45"/>
        <v>0</v>
      </c>
      <c r="H63" s="2">
        <v>4.5</v>
      </c>
      <c r="I63" s="20">
        <f t="shared" si="27"/>
        <v>-0.19299975308641976</v>
      </c>
      <c r="J63" s="15" t="e">
        <f t="shared" si="28"/>
        <v>#NUM!</v>
      </c>
      <c r="K63" s="18" t="e">
        <f t="shared" si="26"/>
        <v>#NUM!</v>
      </c>
      <c r="L63" s="16">
        <f t="shared" si="29"/>
        <v>-16.81413848888889</v>
      </c>
      <c r="M63" s="18">
        <f t="shared" si="30"/>
        <v>0.37105366053595534</v>
      </c>
      <c r="N63" s="19" t="e">
        <f t="shared" si="31"/>
        <v>#NUM!</v>
      </c>
      <c r="O63" s="19">
        <f t="shared" si="32"/>
        <v>0.2450585200604929</v>
      </c>
      <c r="P63" s="19">
        <f t="shared" si="33"/>
        <v>-0.43805827314691265</v>
      </c>
      <c r="Q63" s="19">
        <f t="shared" si="34"/>
        <v>0.3333190333217167</v>
      </c>
      <c r="R63" s="19">
        <f t="shared" si="35"/>
        <v>-0.5263187864081365</v>
      </c>
      <c r="S63" s="19">
        <f t="shared" si="36"/>
        <v>0.5103331353372438</v>
      </c>
      <c r="T63" s="19">
        <f t="shared" si="37"/>
        <v>-0.7033328884236636</v>
      </c>
      <c r="U63" s="19">
        <f t="shared" si="38"/>
        <v>0.6187025534901431</v>
      </c>
      <c r="V63" s="19">
        <f t="shared" si="39"/>
        <v>-0.811702306576563</v>
      </c>
      <c r="W63" s="19">
        <f t="shared" si="40"/>
        <v>1.2326887326986564</v>
      </c>
      <c r="X63" s="19">
        <f t="shared" si="41"/>
        <v>-1.4256884857850762</v>
      </c>
      <c r="Y63" s="19">
        <f t="shared" si="42"/>
        <v>2.1695321695496355</v>
      </c>
      <c r="Z63" s="19">
        <f t="shared" si="43"/>
        <v>-2.3625319226360553</v>
      </c>
    </row>
    <row r="64" spans="1:26" s="2" customFormat="1" ht="11.25">
      <c r="A64" s="2" t="s">
        <v>29</v>
      </c>
      <c r="B64" s="2" t="s">
        <v>25</v>
      </c>
      <c r="D64" s="6">
        <v>0</v>
      </c>
      <c r="E64" s="7">
        <f t="shared" si="44"/>
        <v>0</v>
      </c>
      <c r="F64" s="8">
        <f t="shared" si="45"/>
        <v>0</v>
      </c>
      <c r="H64" s="2">
        <v>5</v>
      </c>
      <c r="I64" s="20">
        <f t="shared" si="27"/>
        <v>-0.1943577777777778</v>
      </c>
      <c r="J64" s="15" t="e">
        <f t="shared" si="28"/>
        <v>#NUM!</v>
      </c>
      <c r="K64" s="18" t="e">
        <f t="shared" si="26"/>
        <v>#NUM!</v>
      </c>
      <c r="L64" s="16">
        <f t="shared" si="29"/>
        <v>-16.9324496</v>
      </c>
      <c r="M64" s="18">
        <f t="shared" si="30"/>
        <v>0.545199899925656</v>
      </c>
      <c r="N64" s="19" t="e">
        <f t="shared" si="31"/>
        <v>#NUM!</v>
      </c>
      <c r="O64" s="19">
        <f t="shared" si="32"/>
        <v>0.31890661869186043</v>
      </c>
      <c r="P64" s="19">
        <f t="shared" si="33"/>
        <v>-0.5132643964696382</v>
      </c>
      <c r="Q64" s="19">
        <f t="shared" si="34"/>
        <v>0.43376433447826496</v>
      </c>
      <c r="R64" s="19">
        <f t="shared" si="35"/>
        <v>-0.6281221122560428</v>
      </c>
      <c r="S64" s="19">
        <f t="shared" si="36"/>
        <v>0.6641214292677576</v>
      </c>
      <c r="T64" s="19">
        <f t="shared" si="37"/>
        <v>-0.8584792070455354</v>
      </c>
      <c r="U64" s="19">
        <f t="shared" si="38"/>
        <v>0.805147844934572</v>
      </c>
      <c r="V64" s="19">
        <f t="shared" si="39"/>
        <v>-0.9995056227123498</v>
      </c>
      <c r="W64" s="19">
        <f t="shared" si="40"/>
        <v>1.6041580417095596</v>
      </c>
      <c r="X64" s="19">
        <f t="shared" si="41"/>
        <v>-1.7985158194873374</v>
      </c>
      <c r="Y64" s="19">
        <f t="shared" si="42"/>
        <v>2.823318153408825</v>
      </c>
      <c r="Z64" s="19">
        <f t="shared" si="43"/>
        <v>-3.017675931186603</v>
      </c>
    </row>
    <row r="65" spans="1:26" s="2" customFormat="1" ht="11.25">
      <c r="A65" s="2" t="s">
        <v>29</v>
      </c>
      <c r="B65" s="2" t="s">
        <v>26</v>
      </c>
      <c r="D65" s="6">
        <v>0</v>
      </c>
      <c r="E65" s="7">
        <f t="shared" si="44"/>
        <v>0</v>
      </c>
      <c r="F65" s="8">
        <f t="shared" si="45"/>
        <v>0</v>
      </c>
      <c r="H65" s="2">
        <v>6</v>
      </c>
      <c r="I65" s="20">
        <f t="shared" si="27"/>
        <v>-0.19639481481481483</v>
      </c>
      <c r="J65" s="15" t="e">
        <f t="shared" si="28"/>
        <v>#NUM!</v>
      </c>
      <c r="K65" s="18" t="e">
        <f t="shared" si="26"/>
        <v>#NUM!</v>
      </c>
      <c r="L65" s="16">
        <f t="shared" si="29"/>
        <v>-17.109916266666666</v>
      </c>
      <c r="M65" s="18">
        <f t="shared" si="30"/>
        <v>0.8503956924000748</v>
      </c>
      <c r="N65" s="19" t="e">
        <f t="shared" si="31"/>
        <v>#NUM!</v>
      </c>
      <c r="O65" s="19">
        <f t="shared" si="32"/>
        <v>0.503056364530264</v>
      </c>
      <c r="P65" s="19">
        <f t="shared" si="33"/>
        <v>-0.6994511793450788</v>
      </c>
      <c r="Q65" s="19">
        <f t="shared" si="34"/>
        <v>0.6842376306286891</v>
      </c>
      <c r="R65" s="19">
        <f t="shared" si="35"/>
        <v>-0.8806324454435039</v>
      </c>
      <c r="S65" s="19">
        <f t="shared" si="36"/>
        <v>1.0476123486696645</v>
      </c>
      <c r="T65" s="19">
        <f t="shared" si="37"/>
        <v>-1.2440071634844794</v>
      </c>
      <c r="U65" s="19">
        <f t="shared" si="38"/>
        <v>1.2700731939763295</v>
      </c>
      <c r="V65" s="19">
        <f t="shared" si="39"/>
        <v>-1.4664680087911444</v>
      </c>
      <c r="W65" s="19">
        <f t="shared" si="40"/>
        <v>2.5304646103131994</v>
      </c>
      <c r="X65" s="19">
        <f t="shared" si="41"/>
        <v>-2.7268594251280143</v>
      </c>
      <c r="Y65" s="19">
        <f t="shared" si="42"/>
        <v>4.453617714151232</v>
      </c>
      <c r="Z65" s="19">
        <f t="shared" si="43"/>
        <v>-4.650012528966046</v>
      </c>
    </row>
    <row r="66" spans="1:26" s="2" customFormat="1" ht="11.25">
      <c r="A66" s="2" t="s">
        <v>29</v>
      </c>
      <c r="B66" s="2" t="s">
        <v>16</v>
      </c>
      <c r="D66" s="6">
        <v>0</v>
      </c>
      <c r="E66" s="7">
        <f t="shared" si="44"/>
        <v>0</v>
      </c>
      <c r="F66" s="8">
        <f t="shared" si="45"/>
        <v>0</v>
      </c>
      <c r="H66" s="2">
        <v>7</v>
      </c>
      <c r="I66" s="20">
        <f t="shared" si="27"/>
        <v>-0.1978498412698413</v>
      </c>
      <c r="J66" s="15" t="e">
        <f t="shared" si="28"/>
        <v>#NUM!</v>
      </c>
      <c r="K66" s="18" t="e">
        <f t="shared" si="26"/>
        <v>#NUM!</v>
      </c>
      <c r="L66" s="16">
        <f t="shared" si="29"/>
        <v>-17.236678171428572</v>
      </c>
      <c r="M66" s="18">
        <f t="shared" si="30"/>
        <v>1.1205125705064929</v>
      </c>
      <c r="N66" s="19" t="e">
        <f t="shared" si="31"/>
        <v>#NUM!</v>
      </c>
      <c r="O66" s="19">
        <f t="shared" si="32"/>
        <v>0.7395773838195128</v>
      </c>
      <c r="P66" s="19">
        <f t="shared" si="33"/>
        <v>-0.937427225089354</v>
      </c>
      <c r="Q66" s="19">
        <f t="shared" si="34"/>
        <v>1.0059442886559167</v>
      </c>
      <c r="R66" s="19">
        <f t="shared" si="35"/>
        <v>-1.203794129925758</v>
      </c>
      <c r="S66" s="19">
        <f t="shared" si="36"/>
        <v>1.540166181595967</v>
      </c>
      <c r="T66" s="19">
        <f t="shared" si="37"/>
        <v>-1.7380160228658084</v>
      </c>
      <c r="U66" s="19">
        <f t="shared" si="38"/>
        <v>1.8672210040268686</v>
      </c>
      <c r="V66" s="19">
        <f t="shared" si="39"/>
        <v>-2.06507084529671</v>
      </c>
      <c r="W66" s="19">
        <f t="shared" si="40"/>
        <v>3.7202081681062005</v>
      </c>
      <c r="X66" s="19">
        <f t="shared" si="41"/>
        <v>-3.9180580093760415</v>
      </c>
      <c r="Y66" s="19">
        <f t="shared" si="42"/>
        <v>6.547566375866913</v>
      </c>
      <c r="Z66" s="19">
        <f t="shared" si="43"/>
        <v>-6.745416217136754</v>
      </c>
    </row>
    <row r="67" spans="1:26" s="2" customFormat="1" ht="11.25">
      <c r="A67" s="2" t="s">
        <v>29</v>
      </c>
      <c r="B67" s="2" t="s">
        <v>6</v>
      </c>
      <c r="D67" s="6">
        <v>0</v>
      </c>
      <c r="E67" s="7">
        <f t="shared" si="44"/>
        <v>0</v>
      </c>
      <c r="F67" s="8">
        <f t="shared" si="45"/>
        <v>0</v>
      </c>
      <c r="H67" s="2">
        <v>8</v>
      </c>
      <c r="I67" s="20">
        <f t="shared" si="27"/>
        <v>-0.19894111111111112</v>
      </c>
      <c r="J67" s="15" t="e">
        <f t="shared" si="28"/>
        <v>#NUM!</v>
      </c>
      <c r="K67" s="18" t="e">
        <f t="shared" si="26"/>
        <v>#NUM!</v>
      </c>
      <c r="L67" s="16">
        <f t="shared" si="29"/>
        <v>-17.331749600000002</v>
      </c>
      <c r="M67" s="18">
        <f t="shared" si="30"/>
        <v>1.3699812749251645</v>
      </c>
      <c r="N67" s="19" t="e">
        <f t="shared" si="31"/>
        <v>#NUM!</v>
      </c>
      <c r="O67" s="19">
        <f t="shared" si="32"/>
        <v>1.0326745865923643</v>
      </c>
      <c r="P67" s="19">
        <f t="shared" si="33"/>
        <v>-1.2316156977034756</v>
      </c>
      <c r="Q67" s="19">
        <f t="shared" si="34"/>
        <v>1.4046036630511838</v>
      </c>
      <c r="R67" s="19">
        <f t="shared" si="35"/>
        <v>-1.603544774162295</v>
      </c>
      <c r="S67" s="19">
        <f t="shared" si="36"/>
        <v>2.1505396320384245</v>
      </c>
      <c r="T67" s="19">
        <f t="shared" si="37"/>
        <v>-2.3494807431495355</v>
      </c>
      <c r="U67" s="19">
        <f t="shared" si="38"/>
        <v>2.6072074682053747</v>
      </c>
      <c r="V67" s="19">
        <f t="shared" si="39"/>
        <v>-2.8061485793164858</v>
      </c>
      <c r="W67" s="19">
        <f t="shared" si="40"/>
        <v>5.194540174005858</v>
      </c>
      <c r="X67" s="19">
        <f t="shared" si="41"/>
        <v>-5.393481285116969</v>
      </c>
      <c r="Y67" s="19">
        <f t="shared" si="42"/>
        <v>9.14239070625031</v>
      </c>
      <c r="Z67" s="19">
        <f t="shared" si="43"/>
        <v>-9.341331817361421</v>
      </c>
    </row>
    <row r="68" spans="1:26" s="2" customFormat="1" ht="11.25">
      <c r="A68" s="2" t="s">
        <v>31</v>
      </c>
      <c r="B68" s="2" t="s">
        <v>1</v>
      </c>
      <c r="D68" s="6">
        <v>0</v>
      </c>
      <c r="E68" s="7">
        <f aca="true" t="shared" si="46" ref="E68:E77">D68*D84*0.01</f>
        <v>0</v>
      </c>
      <c r="F68" s="8">
        <f aca="true" t="shared" si="47" ref="F68:F77">D68*H84/12/3</f>
        <v>0</v>
      </c>
      <c r="H68" s="2">
        <v>9</v>
      </c>
      <c r="I68" s="20">
        <f t="shared" si="27"/>
        <v>-0.1997898765432099</v>
      </c>
      <c r="J68" s="15" t="e">
        <f t="shared" si="28"/>
        <v>#NUM!</v>
      </c>
      <c r="K68" s="18" t="e">
        <f t="shared" si="26"/>
        <v>#NUM!</v>
      </c>
      <c r="L68" s="16">
        <f t="shared" si="29"/>
        <v>-17.40569404444445</v>
      </c>
      <c r="M68" s="18">
        <f t="shared" si="30"/>
        <v>1.6064098093154884</v>
      </c>
      <c r="N68" s="19" t="e">
        <f t="shared" si="31"/>
        <v>#NUM!</v>
      </c>
      <c r="O68" s="19">
        <f t="shared" si="32"/>
        <v>1.3862603305785133</v>
      </c>
      <c r="P68" s="19">
        <f t="shared" si="33"/>
        <v>-1.586050207121723</v>
      </c>
      <c r="Q68" s="19">
        <f t="shared" si="34"/>
        <v>1.8855371900826459</v>
      </c>
      <c r="R68" s="19">
        <f t="shared" si="35"/>
        <v>-2.085327066625856</v>
      </c>
      <c r="S68" s="19">
        <f t="shared" si="36"/>
        <v>2.886880165289258</v>
      </c>
      <c r="T68" s="19">
        <f t="shared" si="37"/>
        <v>-3.086670041832468</v>
      </c>
      <c r="U68" s="19">
        <f t="shared" si="38"/>
        <v>3.499910168882504</v>
      </c>
      <c r="V68" s="19">
        <f t="shared" si="39"/>
        <v>-3.699700045425714</v>
      </c>
      <c r="W68" s="19">
        <f t="shared" si="40"/>
        <v>6.973140495867773</v>
      </c>
      <c r="X68" s="19">
        <f t="shared" si="41"/>
        <v>-7.172930372410983</v>
      </c>
      <c r="Y68" s="19">
        <f t="shared" si="42"/>
        <v>12.27272727272728</v>
      </c>
      <c r="Z68" s="19">
        <f t="shared" si="43"/>
        <v>-12.472517149270491</v>
      </c>
    </row>
    <row r="69" spans="1:26" s="2" customFormat="1" ht="11.25">
      <c r="A69" s="2" t="s">
        <v>31</v>
      </c>
      <c r="B69" s="2" t="s">
        <v>2</v>
      </c>
      <c r="D69" s="6">
        <v>0</v>
      </c>
      <c r="E69" s="7">
        <f t="shared" si="46"/>
        <v>0</v>
      </c>
      <c r="F69" s="8">
        <f t="shared" si="47"/>
        <v>0</v>
      </c>
      <c r="H69" s="2">
        <v>10</v>
      </c>
      <c r="I69" s="20">
        <f t="shared" si="27"/>
        <v>-0.2004688888888889</v>
      </c>
      <c r="J69" s="15" t="e">
        <f t="shared" si="28"/>
        <v>#NUM!</v>
      </c>
      <c r="K69" s="18" t="e">
        <f t="shared" si="26"/>
        <v>#NUM!</v>
      </c>
      <c r="L69" s="16">
        <f t="shared" si="29"/>
        <v>-17.4648496</v>
      </c>
      <c r="M69" s="18">
        <f t="shared" si="30"/>
        <v>1.83414803685201</v>
      </c>
      <c r="N69" s="19" t="e">
        <f t="shared" si="31"/>
        <v>#NUM!</v>
      </c>
      <c r="O69" s="19">
        <f t="shared" si="32"/>
        <v>1.8040082611382988</v>
      </c>
      <c r="P69" s="19">
        <f t="shared" si="33"/>
        <v>-2.0044771500271876</v>
      </c>
      <c r="Q69" s="19">
        <f t="shared" si="34"/>
        <v>2.45374161877161</v>
      </c>
      <c r="R69" s="19">
        <f t="shared" si="35"/>
        <v>-2.654210507660499</v>
      </c>
      <c r="S69" s="19">
        <f t="shared" si="36"/>
        <v>3.756838129332272</v>
      </c>
      <c r="T69" s="19">
        <f t="shared" si="37"/>
        <v>-3.957307018221161</v>
      </c>
      <c r="U69" s="19">
        <f t="shared" si="38"/>
        <v>4.554604008087771</v>
      </c>
      <c r="V69" s="19">
        <f t="shared" si="39"/>
        <v>-4.755072896976659</v>
      </c>
      <c r="W69" s="19">
        <f t="shared" si="40"/>
        <v>9.074488235102107</v>
      </c>
      <c r="X69" s="19">
        <f t="shared" si="41"/>
        <v>-9.274957123990996</v>
      </c>
      <c r="Y69" s="19">
        <f t="shared" si="42"/>
        <v>15.971099293779709</v>
      </c>
      <c r="Z69" s="19">
        <f t="shared" si="43"/>
        <v>-16.171568182668597</v>
      </c>
    </row>
    <row r="70" spans="1:15" s="2" customFormat="1" ht="11.25">
      <c r="A70" s="2" t="s">
        <v>31</v>
      </c>
      <c r="B70" s="2" t="s">
        <v>3</v>
      </c>
      <c r="D70" s="6">
        <v>0</v>
      </c>
      <c r="E70" s="7">
        <f t="shared" si="46"/>
        <v>0</v>
      </c>
      <c r="F70" s="8">
        <f t="shared" si="47"/>
        <v>0</v>
      </c>
      <c r="I70" s="8"/>
      <c r="J70" s="15"/>
      <c r="K70" s="16"/>
      <c r="L70" s="16"/>
      <c r="M70" s="16"/>
      <c r="N70" s="7"/>
      <c r="O70" s="7"/>
    </row>
    <row r="71" spans="1:6" s="2" customFormat="1" ht="11.25">
      <c r="A71" s="2" t="s">
        <v>31</v>
      </c>
      <c r="B71" s="2" t="s">
        <v>4</v>
      </c>
      <c r="D71" s="6">
        <v>0</v>
      </c>
      <c r="E71" s="7">
        <f t="shared" si="46"/>
        <v>0</v>
      </c>
      <c r="F71" s="8">
        <f t="shared" si="47"/>
        <v>0</v>
      </c>
    </row>
    <row r="72" spans="1:6" s="2" customFormat="1" ht="11.25">
      <c r="A72" s="2" t="s">
        <v>31</v>
      </c>
      <c r="B72" s="2" t="s">
        <v>5</v>
      </c>
      <c r="D72" s="6">
        <v>0</v>
      </c>
      <c r="E72" s="7">
        <f t="shared" si="46"/>
        <v>0</v>
      </c>
      <c r="F72" s="8">
        <f t="shared" si="47"/>
        <v>0</v>
      </c>
    </row>
    <row r="73" spans="1:6" s="2" customFormat="1" ht="11.25">
      <c r="A73" s="2" t="s">
        <v>31</v>
      </c>
      <c r="B73" s="2" t="s">
        <v>24</v>
      </c>
      <c r="D73" s="6">
        <v>0</v>
      </c>
      <c r="E73" s="7">
        <f t="shared" si="46"/>
        <v>0</v>
      </c>
      <c r="F73" s="8">
        <f t="shared" si="47"/>
        <v>0</v>
      </c>
    </row>
    <row r="74" spans="1:6" s="2" customFormat="1" ht="11.25">
      <c r="A74" s="2" t="s">
        <v>31</v>
      </c>
      <c r="B74" s="2" t="s">
        <v>25</v>
      </c>
      <c r="D74" s="6">
        <v>0</v>
      </c>
      <c r="E74" s="7">
        <f t="shared" si="46"/>
        <v>0</v>
      </c>
      <c r="F74" s="8">
        <f t="shared" si="47"/>
        <v>0</v>
      </c>
    </row>
    <row r="75" spans="1:6" s="2" customFormat="1" ht="11.25">
      <c r="A75" s="2" t="s">
        <v>31</v>
      </c>
      <c r="B75" s="2" t="s">
        <v>26</v>
      </c>
      <c r="D75" s="6">
        <v>0</v>
      </c>
      <c r="E75" s="7">
        <f t="shared" si="46"/>
        <v>0</v>
      </c>
      <c r="F75" s="8">
        <f t="shared" si="47"/>
        <v>0</v>
      </c>
    </row>
    <row r="76" spans="1:6" s="2" customFormat="1" ht="11.25">
      <c r="A76" s="2" t="s">
        <v>31</v>
      </c>
      <c r="B76" s="2" t="s">
        <v>16</v>
      </c>
      <c r="D76" s="6">
        <v>0</v>
      </c>
      <c r="E76" s="7">
        <f t="shared" si="46"/>
        <v>0</v>
      </c>
      <c r="F76" s="8">
        <f t="shared" si="47"/>
        <v>0</v>
      </c>
    </row>
    <row r="77" spans="1:6" s="2" customFormat="1" ht="11.25">
      <c r="A77" s="2" t="s">
        <v>31</v>
      </c>
      <c r="B77" s="2" t="s">
        <v>6</v>
      </c>
      <c r="D77" s="6">
        <v>0</v>
      </c>
      <c r="E77" s="7">
        <f t="shared" si="46"/>
        <v>0</v>
      </c>
      <c r="F77" s="8">
        <f t="shared" si="47"/>
        <v>0</v>
      </c>
    </row>
    <row r="78" spans="5:6" s="2" customFormat="1" ht="11.25">
      <c r="E78" s="7"/>
      <c r="F78" s="8"/>
    </row>
    <row r="79" spans="3:6" s="2" customFormat="1" ht="11.25">
      <c r="C79" s="1" t="s">
        <v>23</v>
      </c>
      <c r="D79" s="2">
        <f>SUM(D48:D77)</f>
        <v>1</v>
      </c>
      <c r="E79" s="7">
        <f>SUM(E48:E77)</f>
        <v>0.011000000000000001</v>
      </c>
      <c r="F79" s="8">
        <f>SUM(F48:F77)</f>
        <v>0.030555555555555558</v>
      </c>
    </row>
    <row r="80" s="2" customFormat="1" ht="11.25"/>
    <row r="81" s="2" customFormat="1" ht="11.25"/>
    <row r="82" spans="1:8" s="2" customFormat="1" ht="11.25">
      <c r="A82" s="1"/>
      <c r="B82" s="1"/>
      <c r="C82" s="23" t="s">
        <v>9</v>
      </c>
      <c r="D82" s="23"/>
      <c r="E82" s="23"/>
      <c r="F82" s="22" t="s">
        <v>58</v>
      </c>
      <c r="G82" s="22"/>
      <c r="H82" s="22"/>
    </row>
    <row r="83" spans="1:8" s="2" customFormat="1" ht="11.25">
      <c r="A83" s="1" t="s">
        <v>0</v>
      </c>
      <c r="B83" s="1"/>
      <c r="C83" s="1" t="s">
        <v>7</v>
      </c>
      <c r="D83" s="1" t="s">
        <v>8</v>
      </c>
      <c r="E83" s="1"/>
      <c r="F83" s="1" t="s">
        <v>10</v>
      </c>
      <c r="G83" s="1" t="s">
        <v>11</v>
      </c>
      <c r="H83" s="1" t="s">
        <v>12</v>
      </c>
    </row>
    <row r="84" spans="1:8" s="2" customFormat="1" ht="11.25">
      <c r="A84" s="2" t="s">
        <v>1</v>
      </c>
      <c r="C84" s="2">
        <v>3</v>
      </c>
      <c r="D84" s="2">
        <v>1.1</v>
      </c>
      <c r="F84" s="2">
        <v>1.1</v>
      </c>
      <c r="G84" s="2">
        <v>1.1</v>
      </c>
      <c r="H84" s="2">
        <v>1.1</v>
      </c>
    </row>
    <row r="85" spans="1:8" s="2" customFormat="1" ht="11.25">
      <c r="A85" s="2" t="s">
        <v>2</v>
      </c>
      <c r="C85" s="2">
        <v>2.8</v>
      </c>
      <c r="D85" s="2">
        <v>1</v>
      </c>
      <c r="F85" s="2">
        <v>0.35</v>
      </c>
      <c r="G85" s="2">
        <v>0.38</v>
      </c>
      <c r="H85" s="2">
        <v>0.4</v>
      </c>
    </row>
    <row r="86" spans="1:8" s="2" customFormat="1" ht="11.25">
      <c r="A86" s="2" t="s">
        <v>3</v>
      </c>
      <c r="C86" s="2">
        <v>2</v>
      </c>
      <c r="D86" s="2">
        <v>0.8</v>
      </c>
      <c r="F86" s="2">
        <v>0.85</v>
      </c>
      <c r="G86" s="2">
        <v>0.88</v>
      </c>
      <c r="H86" s="2">
        <v>0.9</v>
      </c>
    </row>
    <row r="87" spans="1:8" s="2" customFormat="1" ht="11.25">
      <c r="A87" s="2" t="s">
        <v>4</v>
      </c>
      <c r="C87" s="2">
        <v>1.7</v>
      </c>
      <c r="D87" s="2">
        <v>0.6</v>
      </c>
      <c r="F87" s="2">
        <v>0.75</v>
      </c>
      <c r="G87" s="2">
        <v>0.8</v>
      </c>
      <c r="H87" s="2">
        <v>0.85</v>
      </c>
    </row>
    <row r="88" spans="1:8" s="2" customFormat="1" ht="11.25">
      <c r="A88" s="2" t="s">
        <v>5</v>
      </c>
      <c r="C88" s="2">
        <v>1.7</v>
      </c>
      <c r="D88" s="2">
        <v>0.6</v>
      </c>
      <c r="F88" s="2">
        <v>0.2</v>
      </c>
      <c r="G88" s="2">
        <v>0.3</v>
      </c>
      <c r="H88" s="2">
        <v>0.4</v>
      </c>
    </row>
    <row r="89" spans="1:8" s="2" customFormat="1" ht="11.25">
      <c r="A89" s="2" t="s">
        <v>13</v>
      </c>
      <c r="C89" s="2">
        <v>0.6</v>
      </c>
      <c r="D89" s="2">
        <v>0.2</v>
      </c>
      <c r="F89" s="2">
        <v>0.1</v>
      </c>
      <c r="G89" s="2">
        <v>0.2</v>
      </c>
      <c r="H89" s="2">
        <v>0.3</v>
      </c>
    </row>
    <row r="90" spans="1:8" s="2" customFormat="1" ht="11.25">
      <c r="A90" s="2" t="s">
        <v>14</v>
      </c>
      <c r="C90" s="2">
        <v>0.8</v>
      </c>
      <c r="D90" s="2">
        <v>0.3</v>
      </c>
      <c r="F90" s="2">
        <v>0.15</v>
      </c>
      <c r="G90" s="2">
        <v>0.25</v>
      </c>
      <c r="H90" s="2">
        <v>0.35</v>
      </c>
    </row>
    <row r="91" spans="1:8" s="2" customFormat="1" ht="11.25">
      <c r="A91" s="2" t="s">
        <v>15</v>
      </c>
      <c r="C91" s="2">
        <v>1.5</v>
      </c>
      <c r="D91" s="2">
        <v>0.5</v>
      </c>
      <c r="F91" s="2">
        <v>0.2</v>
      </c>
      <c r="G91" s="2">
        <v>0.3</v>
      </c>
      <c r="H91" s="2">
        <v>0.4</v>
      </c>
    </row>
    <row r="92" spans="1:8" s="2" customFormat="1" ht="11.25">
      <c r="A92" s="2" t="s">
        <v>16</v>
      </c>
      <c r="C92" s="2">
        <v>0.6</v>
      </c>
      <c r="D92" s="2">
        <v>0.2</v>
      </c>
      <c r="F92" s="2">
        <v>0.5</v>
      </c>
      <c r="G92" s="2">
        <v>0.55</v>
      </c>
      <c r="H92" s="2">
        <v>0.6</v>
      </c>
    </row>
    <row r="93" spans="1:8" s="2" customFormat="1" ht="11.25">
      <c r="A93" s="2" t="s">
        <v>6</v>
      </c>
      <c r="C93" s="2">
        <v>1.5</v>
      </c>
      <c r="D93" s="2">
        <v>0.5</v>
      </c>
      <c r="F93" s="2">
        <v>0.5</v>
      </c>
      <c r="G93" s="2">
        <v>0.55</v>
      </c>
      <c r="H93" s="2">
        <v>0.6</v>
      </c>
    </row>
    <row r="94" s="2" customFormat="1" ht="11.25">
      <c r="F94" s="2" t="s">
        <v>59</v>
      </c>
    </row>
    <row r="95" s="2" customFormat="1" ht="11.25">
      <c r="A95" s="2" t="s">
        <v>60</v>
      </c>
    </row>
    <row r="96" spans="1:10" s="2" customFormat="1" ht="11.25">
      <c r="A96" s="21" t="s">
        <v>61</v>
      </c>
      <c r="B96" s="21"/>
      <c r="C96" s="21"/>
      <c r="D96" s="21"/>
      <c r="E96" s="21"/>
      <c r="F96" s="21"/>
      <c r="G96" s="21"/>
      <c r="H96" s="21"/>
      <c r="I96" s="21"/>
      <c r="J96" s="21"/>
    </row>
    <row r="97" spans="1:10" s="2" customFormat="1" ht="11.25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="2" customFormat="1" ht="11.25"/>
    <row r="99" spans="4:5" s="2" customFormat="1" ht="11.25">
      <c r="D99" s="1" t="s">
        <v>7</v>
      </c>
      <c r="E99" s="1" t="s">
        <v>8</v>
      </c>
    </row>
    <row r="100" spans="1:5" s="2" customFormat="1" ht="11.25">
      <c r="A100" s="1" t="s">
        <v>17</v>
      </c>
      <c r="B100" s="1"/>
      <c r="D100" s="2">
        <v>0.00013</v>
      </c>
      <c r="E100" s="2">
        <v>0.002</v>
      </c>
    </row>
    <row r="101" spans="1:8" s="2" customFormat="1" ht="11.25">
      <c r="A101" s="1"/>
      <c r="B101" s="1"/>
      <c r="C101" s="1"/>
      <c r="D101" s="1"/>
      <c r="E101" s="1"/>
      <c r="F101" s="1"/>
      <c r="G101" s="1"/>
      <c r="H101" s="1"/>
    </row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</sheetData>
  <mergeCells count="22">
    <mergeCell ref="M10:M11"/>
    <mergeCell ref="N10:N11"/>
    <mergeCell ref="O10:T10"/>
    <mergeCell ref="H51:H52"/>
    <mergeCell ref="I51:I52"/>
    <mergeCell ref="J51:J52"/>
    <mergeCell ref="K51:K52"/>
    <mergeCell ref="L51:L52"/>
    <mergeCell ref="M51:M52"/>
    <mergeCell ref="N51:N52"/>
    <mergeCell ref="H10:H11"/>
    <mergeCell ref="I10:I11"/>
    <mergeCell ref="K10:K11"/>
    <mergeCell ref="L10:L11"/>
    <mergeCell ref="J10:J11"/>
    <mergeCell ref="A96:J97"/>
    <mergeCell ref="H34:T35"/>
    <mergeCell ref="H39:T40"/>
    <mergeCell ref="H42:T43"/>
    <mergeCell ref="F82:H82"/>
    <mergeCell ref="C82:E82"/>
    <mergeCell ref="O51:T51"/>
  </mergeCells>
  <printOptions gridLines="1"/>
  <pageMargins left="0.75" right="0.5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Engineer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Pitt</dc:creator>
  <cp:keywords/>
  <dc:description/>
  <cp:lastModifiedBy>Robert Pitt</cp:lastModifiedBy>
  <cp:lastPrinted>2005-11-28T08:09:54Z</cp:lastPrinted>
  <dcterms:created xsi:type="dcterms:W3CDTF">2003-10-25T22:31:48Z</dcterms:created>
  <dcterms:modified xsi:type="dcterms:W3CDTF">2005-12-05T22:04:45Z</dcterms:modified>
  <cp:category/>
  <cp:version/>
  <cp:contentType/>
  <cp:contentStatus/>
</cp:coreProperties>
</file>